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5A6F8046-57FE-4361-A368-DAED15C0F3C5}" xr6:coauthVersionLast="47" xr6:coauthVersionMax="47" xr10:uidLastSave="{00000000-0000-0000-0000-000000000000}"/>
  <bookViews>
    <workbookView xWindow="-108" yWindow="-108" windowWidth="23256" windowHeight="13896" xr2:uid="{ED907E37-98B3-4B9B-A4CF-6745D4B6F96C}"/>
  </bookViews>
  <sheets>
    <sheet name="Sheet1" sheetId="1" r:id="rId1"/>
    <sheet name="Sheet2" sheetId="2" r:id="rId2"/>
  </sheets>
  <externalReferences>
    <externalReference r:id="rId3"/>
  </externalReferences>
  <definedNames>
    <definedName name="_xlnm.Print_Area" localSheetId="0">Sheet1!$A$1:$E$57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18" i="2"/>
  <c r="F17" i="2"/>
  <c r="F16" i="2"/>
  <c r="F15" i="2"/>
  <c r="F13" i="2"/>
  <c r="F12" i="2"/>
  <c r="E12" i="2"/>
  <c r="C12" i="2"/>
  <c r="G11" i="2"/>
  <c r="H11" i="2" s="1"/>
  <c r="J11" i="2" s="1"/>
  <c r="F11" i="2"/>
  <c r="F10" i="2"/>
  <c r="G10" i="2" s="1"/>
  <c r="H10" i="2" s="1"/>
  <c r="J10" i="2" s="1"/>
  <c r="G9" i="2"/>
  <c r="H9" i="2" s="1"/>
  <c r="J9" i="2" s="1"/>
  <c r="F9" i="2"/>
  <c r="F8" i="2"/>
  <c r="G8" i="2" s="1"/>
  <c r="H8" i="2" s="1"/>
  <c r="J8" i="2" s="1"/>
  <c r="G7" i="2"/>
  <c r="H7" i="2" s="1"/>
  <c r="J7" i="2" s="1"/>
  <c r="F7" i="2"/>
  <c r="F6" i="2"/>
  <c r="G6" i="2" s="1"/>
  <c r="D56" i="1"/>
  <c r="D55" i="1"/>
  <c r="D54" i="1"/>
  <c r="D53" i="1"/>
  <c r="D52" i="1"/>
  <c r="D57" i="1" s="1"/>
  <c r="E48" i="1"/>
  <c r="D47" i="1"/>
  <c r="D49" i="1" s="1"/>
  <c r="D33" i="1"/>
  <c r="D32" i="1"/>
  <c r="D31" i="1"/>
  <c r="D28" i="1"/>
  <c r="D23" i="1"/>
  <c r="D20" i="1"/>
  <c r="D10" i="1"/>
  <c r="E8" i="1"/>
  <c r="G12" i="2" l="1"/>
  <c r="H6" i="2"/>
  <c r="H12" i="2" l="1"/>
  <c r="J6" i="2"/>
  <c r="J12" i="2" s="1"/>
  <c r="G18" i="2" l="1"/>
  <c r="G16" i="2"/>
  <c r="G19" i="2"/>
  <c r="G17" i="2"/>
  <c r="G15" i="2"/>
  <c r="I16" i="2" l="1"/>
  <c r="J16" i="2" s="1"/>
  <c r="H16" i="2"/>
  <c r="H18" i="2"/>
  <c r="I18" i="2"/>
  <c r="J18" i="2" s="1"/>
  <c r="I19" i="2"/>
  <c r="J19" i="2" s="1"/>
  <c r="H19" i="2"/>
  <c r="I15" i="2"/>
  <c r="J15" i="2" s="1"/>
  <c r="H15" i="2"/>
  <c r="I17" i="2"/>
  <c r="J17" i="2" s="1"/>
  <c r="H17" i="2"/>
</calcChain>
</file>

<file path=xl/sharedStrings.xml><?xml version="1.0" encoding="utf-8"?>
<sst xmlns="http://schemas.openxmlformats.org/spreadsheetml/2006/main" count="114" uniqueCount="97">
  <si>
    <t>Approved BUDGET 2025 for January 1, 2025 to December 31, 2025</t>
  </si>
  <si>
    <t xml:space="preserve">Income:  </t>
  </si>
  <si>
    <t>Approved 2024 Budget</t>
  </si>
  <si>
    <t>Estimated 2024 Expenses</t>
  </si>
  <si>
    <t>Approved 2025 Budget</t>
  </si>
  <si>
    <t xml:space="preserve">Maintenance-Homeowners  </t>
  </si>
  <si>
    <t>Assessment Income</t>
  </si>
  <si>
    <t>Flacks Assessment</t>
  </si>
  <si>
    <t>Interest Income - Bank</t>
  </si>
  <si>
    <t>Delinquent Fee Income</t>
  </si>
  <si>
    <t>Reserves</t>
  </si>
  <si>
    <t>Laundry Room Income</t>
  </si>
  <si>
    <t>Income Account Total</t>
  </si>
  <si>
    <t>Expenses Account</t>
  </si>
  <si>
    <t>General and Administrative</t>
  </si>
  <si>
    <t>Accounting</t>
  </si>
  <si>
    <t>Postage</t>
  </si>
  <si>
    <t>Office Supplies</t>
  </si>
  <si>
    <t>Bad Debt</t>
  </si>
  <si>
    <t>Legal Expense</t>
  </si>
  <si>
    <t>Loan Repayment</t>
  </si>
  <si>
    <t>Engineer Expense</t>
  </si>
  <si>
    <t>SBA Loan Repayment</t>
  </si>
  <si>
    <t>Annual Filing Fees</t>
  </si>
  <si>
    <t>Tax &amp; Licenses/ Permits</t>
  </si>
  <si>
    <t>Insurance</t>
  </si>
  <si>
    <t xml:space="preserve">   Utilities</t>
  </si>
  <si>
    <t>Bank Fees</t>
  </si>
  <si>
    <t>Electricity</t>
  </si>
  <si>
    <t>Water and Sewer</t>
  </si>
  <si>
    <t xml:space="preserve">   Contracts</t>
  </si>
  <si>
    <t>Pool Maintenance Contract</t>
  </si>
  <si>
    <t>Pest Control Services</t>
  </si>
  <si>
    <t>Flacks Repayment</t>
  </si>
  <si>
    <t>Mgmt. Service Contract</t>
  </si>
  <si>
    <t>Landscaping Contract</t>
  </si>
  <si>
    <t>Maintenance Person Contract</t>
  </si>
  <si>
    <t xml:space="preserve">   Repairs and Maintenance</t>
  </si>
  <si>
    <t>Bldg Repairs &amp; Manit.</t>
  </si>
  <si>
    <t>Plumbing Expense</t>
  </si>
  <si>
    <t>Building  Manit. Supplies</t>
  </si>
  <si>
    <t>Drain Cleaning</t>
  </si>
  <si>
    <t>Parking Lot Expense</t>
  </si>
  <si>
    <t>Roof Maintenance</t>
  </si>
  <si>
    <t>Garbage Expense</t>
  </si>
  <si>
    <t>Irrigation repairs &amp; maintenance</t>
  </si>
  <si>
    <t>Landscape Extras</t>
  </si>
  <si>
    <t>Electrical Repairs</t>
  </si>
  <si>
    <t>Tree Trimming / Hurricane</t>
  </si>
  <si>
    <t>Pool Repairs / supplies</t>
  </si>
  <si>
    <t>OPERATING EXPENSES</t>
  </si>
  <si>
    <t>TOTAL EXPENSES</t>
  </si>
  <si>
    <t>Units:</t>
  </si>
  <si>
    <t>Percentage</t>
  </si>
  <si>
    <t>Maintenance for 2025 without Reserves</t>
  </si>
  <si>
    <t>A Maintenance</t>
  </si>
  <si>
    <t>101, 102, 107, 113, 120, 121, 201, 202, 207, 213, 220, 221, 301, 302, 307, 313, 320, 321, 401, 402, 407, 413, 420, 421</t>
  </si>
  <si>
    <t>B Maintenance</t>
  </si>
  <si>
    <t>103, 106, 108, 112, 114, 119, 203, 206, 208, 212, 214, 219, 303, 306, 308, 312, 314, 319, 403, 406, 408, 412, 414, 419</t>
  </si>
  <si>
    <t>C Maintenance</t>
  </si>
  <si>
    <t>104, 105, 116, 117, 204, 205, 210, 211, 216, 217, 222, 223, 304, 305, 316, 317, 404, 405, 410, 411, 416, 417, 422, 423</t>
  </si>
  <si>
    <t>D Maintenance</t>
  </si>
  <si>
    <t>109, 115, 118, 209, 215, 218, 224, 309, 315, 322, 409, 415, 418, 424</t>
  </si>
  <si>
    <t>E Maintenance</t>
  </si>
  <si>
    <t>110, 111, 122, 310, 311, 318</t>
  </si>
  <si>
    <t>Reserves for January 1, 2025 to December 31, 2025</t>
  </si>
  <si>
    <t>AMENDED BUDGET with Partial Reserves for 2025</t>
  </si>
  <si>
    <t>Item</t>
  </si>
  <si>
    <t>Estimated</t>
  </si>
  <si>
    <t xml:space="preserve">Estimated </t>
  </si>
  <si>
    <t>% Per Each</t>
  </si>
  <si>
    <t xml:space="preserve">Money in </t>
  </si>
  <si>
    <t xml:space="preserve">Amount </t>
  </si>
  <si>
    <t>Required</t>
  </si>
  <si>
    <t>Life</t>
  </si>
  <si>
    <t>Cost</t>
  </si>
  <si>
    <t>Remaining life</t>
  </si>
  <si>
    <t>Reserve</t>
  </si>
  <si>
    <t>2025 Budget</t>
  </si>
  <si>
    <t>2025 Budget - 40%</t>
  </si>
  <si>
    <t>Account</t>
  </si>
  <si>
    <t>for Life</t>
  </si>
  <si>
    <t>Full Reserves</t>
  </si>
  <si>
    <t>Partial Reserves</t>
  </si>
  <si>
    <t>Roof</t>
  </si>
  <si>
    <t>Mansard Roofs</t>
  </si>
  <si>
    <t>Pool</t>
  </si>
  <si>
    <t>Concrete Restoration</t>
  </si>
  <si>
    <t>Parking lot</t>
  </si>
  <si>
    <t>Paint</t>
  </si>
  <si>
    <t>Total</t>
  </si>
  <si>
    <t>Monthly with no reserves</t>
  </si>
  <si>
    <t>Full Reserves without Maintenance fees</t>
  </si>
  <si>
    <t>Full Reserves with Maintenance fees</t>
  </si>
  <si>
    <t>Partial Reserves without Maintenance fees at 40%</t>
  </si>
  <si>
    <t>Partial Reserves with Maintenance fees at 40%</t>
  </si>
  <si>
    <t>*The Florida Statute requires the Board of Directors to adopt a budget with full reserves.  The unit owners at a duly called meeting, may vote against the funding of full reserves or may opt to vote for reserves "less than adequate". (Partial Reserves)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</si>
</sst>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3" formatCode="_(* #,##0.00_);_(* \(#,##0.00\);_(* &quot;-&quot;??_);_(@_)"/>
    <numFmt numFmtId="164" formatCode="&quot;$&quot;#,##0"/>
    <numFmt numFmtId="165" formatCode="&quot;$&quot;#,##0.00"/>
    <numFmt numFmtId="166" formatCode="#,##0.000_);\(#,##0.000\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ptos Narrow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ptos Narrow"/>
      <family val="2"/>
      <scheme val="minor"/>
    </font>
    <font>
      <sz val="10"/>
      <name val="Arial"/>
      <family val="2"/>
    </font>
    <font>
      <b/>
      <u/>
      <sz val="18"/>
      <name val="Arial"/>
      <family val="2"/>
    </font>
    <font>
      <b/>
      <sz val="16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Aptos Narrow"/>
      <family val="2"/>
      <scheme val="minor"/>
    </font>
    <font>
      <sz val="12"/>
      <name val="Times New Roman"/>
      <family val="1"/>
    </font>
    <font>
      <b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4" fillId="0" borderId="0" xfId="0" applyFont="1"/>
    <xf numFmtId="0" fontId="5" fillId="0" borderId="0" xfId="0" applyFont="1"/>
    <xf numFmtId="43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6" fillId="0" borderId="0" xfId="1" applyFont="1" applyBorder="1" applyAlignment="1">
      <alignment horizontal="center" vertical="center" wrapText="1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/>
    </xf>
    <xf numFmtId="165" fontId="5" fillId="0" borderId="0" xfId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165" fontId="5" fillId="0" borderId="1" xfId="1" applyNumberFormat="1" applyFont="1" applyFill="1" applyBorder="1" applyAlignment="1">
      <alignment horizontal="center"/>
    </xf>
    <xf numFmtId="0" fontId="8" fillId="0" borderId="0" xfId="0" applyFont="1"/>
    <xf numFmtId="165" fontId="4" fillId="0" borderId="0" xfId="1" applyNumberFormat="1" applyFont="1" applyFill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5" fontId="7" fillId="0" borderId="1" xfId="1" applyNumberFormat="1" applyFont="1" applyFill="1" applyBorder="1" applyAlignment="1">
      <alignment horizontal="center"/>
    </xf>
    <xf numFmtId="165" fontId="4" fillId="2" borderId="0" xfId="1" applyNumberFormat="1" applyFont="1" applyFill="1" applyBorder="1" applyAlignment="1">
      <alignment horizontal="center"/>
    </xf>
    <xf numFmtId="164" fontId="4" fillId="2" borderId="0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43" fontId="5" fillId="0" borderId="0" xfId="1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9" fillId="0" borderId="2" xfId="0" applyFont="1" applyBorder="1"/>
    <xf numFmtId="0" fontId="10" fillId="0" borderId="3" xfId="0" applyFont="1" applyBorder="1" applyAlignment="1">
      <alignment horizontal="center" vertical="center"/>
    </xf>
    <xf numFmtId="43" fontId="10" fillId="0" borderId="3" xfId="1" applyFont="1" applyBorder="1" applyAlignment="1">
      <alignment horizontal="center" vertical="center"/>
    </xf>
    <xf numFmtId="43" fontId="11" fillId="3" borderId="4" xfId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6" fontId="13" fillId="0" borderId="4" xfId="1" applyNumberFormat="1" applyFont="1" applyBorder="1" applyAlignment="1">
      <alignment horizontal="center" vertical="center" wrapText="1"/>
    </xf>
    <xf numFmtId="5" fontId="11" fillId="3" borderId="4" xfId="1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6" fontId="13" fillId="0" borderId="7" xfId="1" applyNumberFormat="1" applyFont="1" applyBorder="1" applyAlignment="1">
      <alignment horizontal="center" vertical="center" wrapText="1"/>
    </xf>
    <xf numFmtId="0" fontId="3" fillId="0" borderId="0" xfId="0" applyFont="1"/>
    <xf numFmtId="43" fontId="4" fillId="0" borderId="0" xfId="1" applyFont="1" applyBorder="1" applyAlignment="1">
      <alignment horizontal="center"/>
    </xf>
    <xf numFmtId="5" fontId="0" fillId="0" borderId="0" xfId="0" applyNumberFormat="1" applyAlignment="1">
      <alignment horizontal="center"/>
    </xf>
    <xf numFmtId="43" fontId="5" fillId="0" borderId="0" xfId="1" applyFont="1" applyBorder="1" applyAlignment="1">
      <alignment horizontal="center"/>
    </xf>
    <xf numFmtId="165" fontId="0" fillId="0" borderId="0" xfId="0" applyNumberFormat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14" fontId="10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5" fontId="0" fillId="4" borderId="4" xfId="0" applyNumberFormat="1" applyFill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13" fillId="0" borderId="13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165" fontId="0" fillId="0" borderId="13" xfId="0" applyNumberFormat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165" fontId="11" fillId="5" borderId="7" xfId="0" applyNumberFormat="1" applyFont="1" applyFill="1" applyBorder="1" applyAlignment="1">
      <alignment horizontal="center"/>
    </xf>
    <xf numFmtId="10" fontId="11" fillId="5" borderId="7" xfId="0" applyNumberFormat="1" applyFont="1" applyFill="1" applyBorder="1" applyAlignment="1">
      <alignment horizontal="center"/>
    </xf>
    <xf numFmtId="165" fontId="11" fillId="6" borderId="7" xfId="0" applyNumberFormat="1" applyFont="1" applyFill="1" applyBorder="1" applyAlignment="1">
      <alignment horizontal="center"/>
    </xf>
    <xf numFmtId="165" fontId="11" fillId="6" borderId="16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9" fontId="19" fillId="2" borderId="4" xfId="0" applyNumberFormat="1" applyFont="1" applyFill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5" fontId="11" fillId="5" borderId="14" xfId="0" applyNumberFormat="1" applyFont="1" applyFill="1" applyBorder="1" applyAlignment="1">
      <alignment horizontal="center"/>
    </xf>
    <xf numFmtId="165" fontId="11" fillId="5" borderId="15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business%20forms%201\Centre%20Court%20Hill\Copy%20of%20centre%20budget%202025_MZ.xlsx" TargetMode="External"/><Relationship Id="rId1" Type="http://schemas.openxmlformats.org/officeDocument/2006/relationships/externalLinkPath" Target="file:///E:\business%20forms%201\Centre%20Court%20Hill\Copy%20of%20centre%20budget%202025_M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an 2"/>
      <sheetName val="budget 2019"/>
      <sheetName val="reserves 2019"/>
      <sheetName val="assessment 2020"/>
      <sheetName val="budget 2020"/>
      <sheetName val="reserves 2020"/>
      <sheetName val="reserves as of 52020"/>
      <sheetName val="budget 2021"/>
      <sheetName val="reserves 2021"/>
      <sheetName val="budget 2022"/>
      <sheetName val="reserves 2022"/>
      <sheetName val="2022 assessment"/>
      <sheetName val="reserves 2022 (2)"/>
      <sheetName val="assessment 2022 loan"/>
      <sheetName val="budget 2024"/>
      <sheetName val="reserves 2024"/>
      <sheetName val="reserves 2024 (2)"/>
      <sheetName val="budget 2025"/>
      <sheetName val="reserves 202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2">
          <cell r="F12">
            <v>55923.6</v>
          </cell>
          <cell r="J12">
            <v>34220.127503267977</v>
          </cell>
        </row>
      </sheetData>
      <sheetData sheetId="17">
        <row r="52">
          <cell r="D52">
            <v>377.61200000000002</v>
          </cell>
        </row>
        <row r="53">
          <cell r="D53">
            <v>251.74133333333336</v>
          </cell>
        </row>
        <row r="54">
          <cell r="D54">
            <v>409.0796666666667</v>
          </cell>
        </row>
        <row r="55">
          <cell r="D55">
            <v>346.14433333333335</v>
          </cell>
        </row>
        <row r="56">
          <cell r="D56">
            <v>283.209</v>
          </cell>
        </row>
      </sheetData>
      <sheetData sheetId="18">
        <row r="12">
          <cell r="J12">
            <v>107486.71263009051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D250E-8E60-4AF9-92B0-CCB7B3686F2D}">
  <dimension ref="A1:H63"/>
  <sheetViews>
    <sheetView tabSelected="1" zoomScaleNormal="100" workbookViewId="0">
      <selection activeCell="G9" sqref="G9"/>
    </sheetView>
  </sheetViews>
  <sheetFormatPr defaultColWidth="8.77734375" defaultRowHeight="15.6" x14ac:dyDescent="0.3"/>
  <cols>
    <col min="1" max="1" width="14.77734375" customWidth="1"/>
    <col min="2" max="2" width="31.77734375" customWidth="1"/>
    <col min="3" max="3" width="18.5546875" style="21" bestFit="1" customWidth="1"/>
    <col min="4" max="4" width="19.21875" style="22" bestFit="1" customWidth="1"/>
    <col min="5" max="5" width="18.5546875" style="23" bestFit="1" customWidth="1"/>
    <col min="6" max="6" width="15.77734375" customWidth="1"/>
    <col min="7" max="7" width="22.44140625" customWidth="1"/>
    <col min="8" max="8" width="17" customWidth="1"/>
  </cols>
  <sheetData>
    <row r="1" spans="1:8" ht="15.75" customHeight="1" x14ac:dyDescent="0.3">
      <c r="A1" s="72" t="s">
        <v>0</v>
      </c>
      <c r="B1" s="72"/>
      <c r="C1" s="72"/>
      <c r="D1" s="72"/>
      <c r="E1" s="72"/>
    </row>
    <row r="2" spans="1:8" ht="33.75" customHeight="1" x14ac:dyDescent="0.3">
      <c r="A2" s="1" t="s">
        <v>1</v>
      </c>
      <c r="B2" s="2"/>
      <c r="C2" s="3" t="s">
        <v>2</v>
      </c>
      <c r="D2" s="4" t="s">
        <v>3</v>
      </c>
      <c r="E2" s="3" t="s">
        <v>4</v>
      </c>
      <c r="F2" s="5"/>
      <c r="G2" s="4"/>
      <c r="H2" s="5"/>
    </row>
    <row r="3" spans="1:8" x14ac:dyDescent="0.3">
      <c r="A3" s="6"/>
      <c r="B3" s="6" t="s">
        <v>5</v>
      </c>
      <c r="C3" s="7">
        <v>463920</v>
      </c>
      <c r="D3" s="8">
        <v>421007</v>
      </c>
      <c r="E3" s="7">
        <v>377612</v>
      </c>
      <c r="F3" s="7"/>
      <c r="G3" s="8"/>
      <c r="H3" s="7"/>
    </row>
    <row r="4" spans="1:8" x14ac:dyDescent="0.3">
      <c r="A4" s="6"/>
      <c r="B4" s="6" t="s">
        <v>6</v>
      </c>
      <c r="C4" s="7">
        <v>130000</v>
      </c>
      <c r="D4" s="8">
        <v>90000</v>
      </c>
      <c r="E4" s="7">
        <v>90000</v>
      </c>
      <c r="F4" s="7"/>
      <c r="G4" s="8"/>
      <c r="H4" s="7"/>
    </row>
    <row r="5" spans="1:8" x14ac:dyDescent="0.3">
      <c r="A5" s="6"/>
      <c r="B5" s="6" t="s">
        <v>7</v>
      </c>
      <c r="C5" s="7">
        <v>10000</v>
      </c>
      <c r="D5" s="8">
        <v>1162.5</v>
      </c>
      <c r="E5" s="7">
        <v>1500</v>
      </c>
      <c r="F5" s="7"/>
      <c r="G5" s="8"/>
      <c r="H5" s="7"/>
    </row>
    <row r="6" spans="1:8" x14ac:dyDescent="0.3">
      <c r="A6" s="6"/>
      <c r="B6" s="6" t="s">
        <v>8</v>
      </c>
      <c r="C6" s="7">
        <v>200</v>
      </c>
      <c r="D6" s="8">
        <v>1500</v>
      </c>
      <c r="E6" s="7">
        <v>1500</v>
      </c>
      <c r="F6" s="7"/>
      <c r="G6" s="8"/>
      <c r="H6" s="7"/>
    </row>
    <row r="7" spans="1:8" x14ac:dyDescent="0.3">
      <c r="A7" s="6"/>
      <c r="B7" s="6" t="s">
        <v>9</v>
      </c>
      <c r="C7" s="8">
        <v>0</v>
      </c>
      <c r="D7" s="8">
        <v>0</v>
      </c>
      <c r="E7" s="8">
        <v>0</v>
      </c>
      <c r="F7" s="8"/>
      <c r="G7" s="8"/>
      <c r="H7" s="8"/>
    </row>
    <row r="8" spans="1:8" x14ac:dyDescent="0.3">
      <c r="A8" s="6"/>
      <c r="B8" s="6" t="s">
        <v>10</v>
      </c>
      <c r="C8" s="9">
        <v>0</v>
      </c>
      <c r="D8" s="8">
        <v>41113</v>
      </c>
      <c r="E8" s="9">
        <f>'[1]reserves 2025 (2)'!J12</f>
        <v>107486.71263009051</v>
      </c>
      <c r="F8" s="9"/>
      <c r="G8" s="8"/>
      <c r="H8" s="9"/>
    </row>
    <row r="9" spans="1:8" ht="16.2" thickBot="1" x14ac:dyDescent="0.35">
      <c r="A9" s="6"/>
      <c r="B9" s="6" t="s">
        <v>11</v>
      </c>
      <c r="C9" s="10">
        <v>3500</v>
      </c>
      <c r="D9" s="10">
        <v>4000</v>
      </c>
      <c r="E9" s="10">
        <v>4000</v>
      </c>
      <c r="F9" s="8"/>
      <c r="G9" s="8"/>
      <c r="H9" s="8"/>
    </row>
    <row r="10" spans="1:8" x14ac:dyDescent="0.3">
      <c r="A10" s="11" t="s">
        <v>12</v>
      </c>
      <c r="B10" s="11"/>
      <c r="C10" s="7">
        <v>607620</v>
      </c>
      <c r="D10" s="12">
        <f>SUM(D3:D9)</f>
        <v>558782.5</v>
      </c>
      <c r="E10" s="7">
        <v>474612</v>
      </c>
      <c r="F10" s="7"/>
      <c r="G10" s="12"/>
      <c r="H10" s="7"/>
    </row>
    <row r="11" spans="1:8" x14ac:dyDescent="0.3">
      <c r="A11" s="11" t="s">
        <v>13</v>
      </c>
      <c r="B11" s="11"/>
      <c r="C11" s="12"/>
      <c r="D11" s="13"/>
      <c r="E11" s="12"/>
      <c r="F11" s="12"/>
      <c r="G11" s="13"/>
      <c r="H11" s="12"/>
    </row>
    <row r="12" spans="1:8" x14ac:dyDescent="0.3">
      <c r="A12" s="11" t="s">
        <v>14</v>
      </c>
      <c r="B12" s="6"/>
      <c r="C12" s="12"/>
      <c r="D12" s="13"/>
      <c r="E12" s="12"/>
      <c r="F12" s="12"/>
      <c r="G12" s="13"/>
      <c r="H12" s="12"/>
    </row>
    <row r="13" spans="1:8" x14ac:dyDescent="0.3">
      <c r="A13" s="14"/>
      <c r="B13" s="6" t="s">
        <v>15</v>
      </c>
      <c r="C13" s="8">
        <v>12900</v>
      </c>
      <c r="D13" s="15">
        <v>8000</v>
      </c>
      <c r="E13" s="8">
        <v>10000</v>
      </c>
      <c r="F13" s="8"/>
      <c r="G13" s="15"/>
      <c r="H13" s="8"/>
    </row>
    <row r="14" spans="1:8" x14ac:dyDescent="0.3">
      <c r="A14" s="14"/>
      <c r="B14" s="6" t="s">
        <v>16</v>
      </c>
      <c r="C14" s="8">
        <v>550</v>
      </c>
      <c r="D14" s="15">
        <v>650</v>
      </c>
      <c r="E14" s="8">
        <v>700</v>
      </c>
      <c r="F14" s="8"/>
      <c r="G14" s="15"/>
      <c r="H14" s="8"/>
    </row>
    <row r="15" spans="1:8" x14ac:dyDescent="0.3">
      <c r="A15" s="14"/>
      <c r="B15" s="6" t="s">
        <v>17</v>
      </c>
      <c r="C15" s="8">
        <v>2000</v>
      </c>
      <c r="D15" s="15">
        <v>1100</v>
      </c>
      <c r="E15" s="8">
        <v>1300</v>
      </c>
      <c r="F15" s="8"/>
      <c r="G15" s="15"/>
      <c r="H15" s="8"/>
    </row>
    <row r="16" spans="1:8" x14ac:dyDescent="0.3">
      <c r="A16" s="14"/>
      <c r="B16" s="6" t="s">
        <v>18</v>
      </c>
      <c r="C16" s="8">
        <v>4000</v>
      </c>
      <c r="D16" s="15">
        <v>10000</v>
      </c>
      <c r="E16" s="8">
        <v>4000</v>
      </c>
      <c r="F16" s="8"/>
      <c r="G16" s="15"/>
      <c r="H16" s="8"/>
    </row>
    <row r="17" spans="1:8" x14ac:dyDescent="0.3">
      <c r="A17" s="14"/>
      <c r="B17" s="6" t="s">
        <v>19</v>
      </c>
      <c r="C17" s="8">
        <v>5500</v>
      </c>
      <c r="D17" s="15">
        <v>4500</v>
      </c>
      <c r="E17" s="8">
        <v>5500</v>
      </c>
      <c r="F17" s="8"/>
      <c r="G17" s="15"/>
      <c r="H17" s="8"/>
    </row>
    <row r="18" spans="1:8" x14ac:dyDescent="0.3">
      <c r="A18" s="14"/>
      <c r="B18" s="6" t="s">
        <v>20</v>
      </c>
      <c r="C18" s="8"/>
      <c r="D18" s="15"/>
      <c r="E18" s="8"/>
      <c r="F18" s="8"/>
      <c r="G18" s="15"/>
      <c r="H18" s="8"/>
    </row>
    <row r="19" spans="1:8" x14ac:dyDescent="0.3">
      <c r="A19" s="14"/>
      <c r="B19" s="6" t="s">
        <v>21</v>
      </c>
      <c r="C19" s="8">
        <v>5000</v>
      </c>
      <c r="D19" s="15">
        <v>0</v>
      </c>
      <c r="E19" s="8">
        <v>0</v>
      </c>
      <c r="F19" s="8"/>
      <c r="G19" s="15"/>
      <c r="H19" s="8"/>
    </row>
    <row r="20" spans="1:8" x14ac:dyDescent="0.3">
      <c r="A20" s="14"/>
      <c r="B20" s="6" t="s">
        <v>22</v>
      </c>
      <c r="C20" s="8">
        <v>7680</v>
      </c>
      <c r="D20" s="15">
        <f>641*12</f>
        <v>7692</v>
      </c>
      <c r="E20" s="8">
        <v>7692</v>
      </c>
      <c r="F20" s="8"/>
      <c r="G20" s="15"/>
      <c r="H20" s="8"/>
    </row>
    <row r="21" spans="1:8" x14ac:dyDescent="0.3">
      <c r="A21" s="14"/>
      <c r="B21" s="6" t="s">
        <v>23</v>
      </c>
      <c r="C21" s="8">
        <v>100</v>
      </c>
      <c r="D21" s="15">
        <v>100</v>
      </c>
      <c r="E21" s="8">
        <v>100</v>
      </c>
      <c r="F21" s="8"/>
      <c r="G21" s="15"/>
      <c r="H21" s="8"/>
    </row>
    <row r="22" spans="1:8" x14ac:dyDescent="0.3">
      <c r="A22" s="14"/>
      <c r="B22" s="6" t="s">
        <v>24</v>
      </c>
      <c r="C22" s="8">
        <v>800</v>
      </c>
      <c r="D22" s="8">
        <v>1400</v>
      </c>
      <c r="E22" s="8">
        <v>1400</v>
      </c>
      <c r="F22" s="8"/>
      <c r="G22" s="8"/>
      <c r="H22" s="8"/>
    </row>
    <row r="23" spans="1:8" x14ac:dyDescent="0.3">
      <c r="A23" s="6"/>
      <c r="B23" s="6" t="s">
        <v>25</v>
      </c>
      <c r="C23" s="8">
        <v>251250</v>
      </c>
      <c r="D23" s="8">
        <f>256000</f>
        <v>256000</v>
      </c>
      <c r="E23" s="8">
        <v>270000</v>
      </c>
      <c r="F23" s="8"/>
      <c r="G23" s="8"/>
      <c r="H23" s="8"/>
    </row>
    <row r="24" spans="1:8" x14ac:dyDescent="0.3">
      <c r="A24" s="11" t="s">
        <v>26</v>
      </c>
      <c r="B24" s="6" t="s">
        <v>27</v>
      </c>
      <c r="C24" s="8">
        <v>320</v>
      </c>
      <c r="D24" s="8">
        <v>300</v>
      </c>
      <c r="E24" s="8">
        <v>320</v>
      </c>
      <c r="F24" s="8"/>
      <c r="G24" s="8"/>
      <c r="H24" s="8"/>
    </row>
    <row r="25" spans="1:8" x14ac:dyDescent="0.3">
      <c r="A25" s="16"/>
      <c r="B25" s="6" t="s">
        <v>28</v>
      </c>
      <c r="C25" s="8">
        <v>10500</v>
      </c>
      <c r="D25" s="15">
        <v>7600</v>
      </c>
      <c r="E25" s="8">
        <v>8000</v>
      </c>
      <c r="F25" s="8"/>
      <c r="G25" s="15"/>
      <c r="H25" s="8"/>
    </row>
    <row r="26" spans="1:8" x14ac:dyDescent="0.3">
      <c r="A26" s="16"/>
      <c r="B26" s="6" t="s">
        <v>29</v>
      </c>
      <c r="C26" s="8">
        <v>60000</v>
      </c>
      <c r="D26" s="15">
        <v>66000</v>
      </c>
      <c r="E26" s="8">
        <v>70000</v>
      </c>
      <c r="F26" s="8"/>
      <c r="G26" s="15"/>
      <c r="H26" s="8"/>
    </row>
    <row r="27" spans="1:8" x14ac:dyDescent="0.3">
      <c r="A27" s="11" t="s">
        <v>30</v>
      </c>
      <c r="B27" s="6"/>
      <c r="C27" s="8"/>
      <c r="D27" s="15"/>
      <c r="E27" s="8"/>
      <c r="F27" s="8"/>
      <c r="G27" s="15"/>
      <c r="H27" s="8"/>
    </row>
    <row r="28" spans="1:8" x14ac:dyDescent="0.3">
      <c r="A28" s="14"/>
      <c r="B28" s="6" t="s">
        <v>31</v>
      </c>
      <c r="C28" s="8">
        <v>5000</v>
      </c>
      <c r="D28" s="15">
        <f>400*12</f>
        <v>4800</v>
      </c>
      <c r="E28" s="8">
        <v>5000</v>
      </c>
      <c r="F28" s="8"/>
      <c r="G28" s="15"/>
      <c r="H28" s="8"/>
    </row>
    <row r="29" spans="1:8" x14ac:dyDescent="0.3">
      <c r="A29" s="14"/>
      <c r="B29" s="6" t="s">
        <v>32</v>
      </c>
      <c r="C29" s="8">
        <v>5000</v>
      </c>
      <c r="D29" s="15">
        <v>4400</v>
      </c>
      <c r="E29" s="8">
        <v>5000</v>
      </c>
      <c r="F29" s="8"/>
      <c r="G29" s="15"/>
      <c r="H29" s="8"/>
    </row>
    <row r="30" spans="1:8" x14ac:dyDescent="0.3">
      <c r="A30" s="14"/>
      <c r="B30" s="6" t="s">
        <v>33</v>
      </c>
      <c r="C30" s="8">
        <v>10000</v>
      </c>
      <c r="D30" s="15">
        <v>30000</v>
      </c>
      <c r="E30" s="8">
        <v>0</v>
      </c>
      <c r="F30" s="8"/>
      <c r="G30" s="15"/>
      <c r="H30" s="8"/>
    </row>
    <row r="31" spans="1:8" x14ac:dyDescent="0.3">
      <c r="A31" s="14"/>
      <c r="B31" s="6" t="s">
        <v>34</v>
      </c>
      <c r="C31" s="8">
        <v>19200</v>
      </c>
      <c r="D31" s="15">
        <f>1600*12</f>
        <v>19200</v>
      </c>
      <c r="E31" s="8">
        <v>19200</v>
      </c>
      <c r="F31" s="8"/>
      <c r="G31" s="15"/>
      <c r="H31" s="8"/>
    </row>
    <row r="32" spans="1:8" x14ac:dyDescent="0.3">
      <c r="A32" s="14"/>
      <c r="B32" s="6" t="s">
        <v>35</v>
      </c>
      <c r="C32" s="8">
        <v>13500</v>
      </c>
      <c r="D32" s="15">
        <f>8850+1800</f>
        <v>10650</v>
      </c>
      <c r="E32" s="8">
        <v>10800</v>
      </c>
      <c r="F32" s="8"/>
      <c r="G32" s="15"/>
      <c r="H32" s="8"/>
    </row>
    <row r="33" spans="1:8" x14ac:dyDescent="0.3">
      <c r="A33" s="14"/>
      <c r="B33" s="6" t="s">
        <v>36</v>
      </c>
      <c r="C33" s="8">
        <v>18720</v>
      </c>
      <c r="D33" s="15">
        <f>1440*12</f>
        <v>17280</v>
      </c>
      <c r="E33" s="8">
        <v>19200</v>
      </c>
      <c r="F33" s="8"/>
      <c r="G33" s="15"/>
      <c r="H33" s="8"/>
    </row>
    <row r="34" spans="1:8" x14ac:dyDescent="0.3">
      <c r="A34" s="1" t="s">
        <v>37</v>
      </c>
      <c r="B34" s="1"/>
      <c r="C34" s="8"/>
      <c r="D34" s="15"/>
      <c r="E34" s="8"/>
      <c r="F34" s="8"/>
      <c r="G34" s="15"/>
      <c r="H34" s="8"/>
    </row>
    <row r="35" spans="1:8" x14ac:dyDescent="0.3">
      <c r="A35" s="14"/>
      <c r="B35" s="6" t="s">
        <v>38</v>
      </c>
      <c r="C35" s="8">
        <v>10000</v>
      </c>
      <c r="D35" s="15">
        <v>3000</v>
      </c>
      <c r="E35" s="8">
        <v>7000</v>
      </c>
      <c r="F35" s="8"/>
      <c r="G35" s="15"/>
      <c r="H35" s="8"/>
    </row>
    <row r="36" spans="1:8" x14ac:dyDescent="0.3">
      <c r="A36" s="14"/>
      <c r="B36" s="6" t="s">
        <v>39</v>
      </c>
      <c r="C36" s="8">
        <v>0</v>
      </c>
      <c r="D36" s="15">
        <v>1400</v>
      </c>
      <c r="E36" s="8">
        <v>1500</v>
      </c>
      <c r="F36" s="8"/>
      <c r="G36" s="15"/>
      <c r="H36" s="8"/>
    </row>
    <row r="37" spans="1:8" x14ac:dyDescent="0.3">
      <c r="A37" s="14"/>
      <c r="B37" s="6" t="s">
        <v>40</v>
      </c>
      <c r="C37" s="8">
        <v>2000</v>
      </c>
      <c r="D37" s="15">
        <v>2000</v>
      </c>
      <c r="E37" s="8">
        <v>2000</v>
      </c>
      <c r="F37" s="8"/>
      <c r="G37" s="15"/>
      <c r="H37" s="8"/>
    </row>
    <row r="38" spans="1:8" x14ac:dyDescent="0.3">
      <c r="A38" s="14"/>
      <c r="B38" s="6" t="s">
        <v>41</v>
      </c>
      <c r="C38" s="8">
        <v>0</v>
      </c>
      <c r="D38" s="15">
        <v>3450</v>
      </c>
      <c r="E38" s="8">
        <v>0</v>
      </c>
      <c r="F38" s="8"/>
      <c r="G38" s="15"/>
      <c r="H38" s="8"/>
    </row>
    <row r="39" spans="1:8" x14ac:dyDescent="0.3">
      <c r="A39" s="14"/>
      <c r="B39" s="6" t="s">
        <v>42</v>
      </c>
      <c r="C39" s="8">
        <v>0</v>
      </c>
      <c r="D39" s="15">
        <v>11000</v>
      </c>
      <c r="E39" s="8">
        <v>3000</v>
      </c>
    </row>
    <row r="40" spans="1:8" x14ac:dyDescent="0.3">
      <c r="A40" s="14"/>
      <c r="B40" s="6" t="s">
        <v>43</v>
      </c>
      <c r="C40" s="8">
        <v>3000</v>
      </c>
      <c r="D40" s="15">
        <v>3000</v>
      </c>
      <c r="E40" s="8">
        <v>3000</v>
      </c>
      <c r="F40" s="8"/>
      <c r="G40" s="15"/>
      <c r="H40" s="8"/>
    </row>
    <row r="41" spans="1:8" x14ac:dyDescent="0.3">
      <c r="A41" s="14"/>
      <c r="B41" s="6" t="s">
        <v>44</v>
      </c>
      <c r="C41" s="8">
        <v>1000</v>
      </c>
      <c r="D41" s="15">
        <v>3174.69</v>
      </c>
      <c r="E41" s="8">
        <v>1000</v>
      </c>
      <c r="F41" s="8"/>
      <c r="G41" s="15"/>
      <c r="H41" s="8"/>
    </row>
    <row r="42" spans="1:8" x14ac:dyDescent="0.3">
      <c r="A42" s="14"/>
      <c r="B42" s="6" t="s">
        <v>45</v>
      </c>
      <c r="C42" s="8">
        <v>2100</v>
      </c>
      <c r="D42" s="15">
        <v>1700</v>
      </c>
      <c r="E42" s="8">
        <v>1900</v>
      </c>
      <c r="F42" s="8"/>
      <c r="G42" s="15"/>
      <c r="H42" s="8"/>
    </row>
    <row r="43" spans="1:8" x14ac:dyDescent="0.3">
      <c r="A43" s="14"/>
      <c r="B43" s="6" t="s">
        <v>46</v>
      </c>
      <c r="C43" s="8">
        <v>2500</v>
      </c>
      <c r="D43" s="15">
        <v>0</v>
      </c>
      <c r="E43" s="8">
        <v>3000</v>
      </c>
      <c r="F43" s="8"/>
      <c r="G43" s="15"/>
      <c r="H43" s="8"/>
    </row>
    <row r="44" spans="1:8" x14ac:dyDescent="0.3">
      <c r="A44" s="14"/>
      <c r="B44" s="6" t="s">
        <v>47</v>
      </c>
      <c r="C44" s="8">
        <v>10000</v>
      </c>
      <c r="D44" s="15">
        <v>12550</v>
      </c>
      <c r="E44" s="8">
        <v>9000</v>
      </c>
      <c r="F44" s="8"/>
      <c r="G44" s="15"/>
      <c r="H44" s="8"/>
    </row>
    <row r="45" spans="1:8" x14ac:dyDescent="0.3">
      <c r="A45" s="14"/>
      <c r="B45" s="6" t="s">
        <v>48</v>
      </c>
      <c r="C45" s="8">
        <v>1500</v>
      </c>
      <c r="D45" s="15">
        <v>1500</v>
      </c>
      <c r="E45" s="8">
        <v>1500</v>
      </c>
      <c r="F45" s="8"/>
      <c r="G45" s="15"/>
      <c r="H45" s="8"/>
    </row>
    <row r="46" spans="1:8" ht="16.2" thickBot="1" x14ac:dyDescent="0.35">
      <c r="A46" s="14"/>
      <c r="B46" s="6" t="s">
        <v>49</v>
      </c>
      <c r="C46" s="10">
        <v>3500</v>
      </c>
      <c r="D46" s="17">
        <v>1600</v>
      </c>
      <c r="E46" s="10">
        <v>3500</v>
      </c>
      <c r="F46" s="8"/>
      <c r="G46" s="15"/>
      <c r="H46" s="8"/>
    </row>
    <row r="47" spans="1:8" x14ac:dyDescent="0.3">
      <c r="A47" s="11" t="s">
        <v>50</v>
      </c>
      <c r="B47" s="11"/>
      <c r="C47" s="18">
        <v>467620</v>
      </c>
      <c r="D47" s="18">
        <f>SUM(D13:D46)</f>
        <v>494046.69</v>
      </c>
      <c r="E47" s="18">
        <v>474612</v>
      </c>
      <c r="F47" s="18"/>
      <c r="G47" s="18"/>
      <c r="H47" s="18"/>
    </row>
    <row r="48" spans="1:8" x14ac:dyDescent="0.3">
      <c r="A48" s="11"/>
      <c r="B48" s="6" t="s">
        <v>10</v>
      </c>
      <c r="C48" s="7"/>
      <c r="D48" s="8">
        <v>25665.119999999999</v>
      </c>
      <c r="E48" s="7">
        <f>'[1]reserves 2025 (2)'!J12</f>
        <v>107486.71263009051</v>
      </c>
      <c r="F48" s="7"/>
      <c r="G48" s="8"/>
      <c r="H48" s="7"/>
    </row>
    <row r="49" spans="1:7" x14ac:dyDescent="0.3">
      <c r="A49" s="73" t="s">
        <v>51</v>
      </c>
      <c r="B49" s="73"/>
      <c r="C49" s="19">
        <v>467620</v>
      </c>
      <c r="D49" s="20">
        <f>SUM(D47:D48)</f>
        <v>519711.81</v>
      </c>
      <c r="E49" s="19">
        <v>474612</v>
      </c>
    </row>
    <row r="50" spans="1:7" ht="16.2" thickBot="1" x14ac:dyDescent="0.35"/>
    <row r="51" spans="1:7" ht="57" customHeight="1" x14ac:dyDescent="0.3">
      <c r="A51" s="24"/>
      <c r="B51" s="25" t="s">
        <v>52</v>
      </c>
      <c r="C51" s="26" t="s">
        <v>53</v>
      </c>
      <c r="D51" s="27" t="s">
        <v>54</v>
      </c>
    </row>
    <row r="52" spans="1:7" ht="52.8" x14ac:dyDescent="0.3">
      <c r="A52" s="28" t="s">
        <v>55</v>
      </c>
      <c r="B52" s="29" t="s">
        <v>56</v>
      </c>
      <c r="C52" s="30">
        <v>1.2E-2</v>
      </c>
      <c r="D52" s="31">
        <f>(E3*C52)/12</f>
        <v>377.61200000000002</v>
      </c>
    </row>
    <row r="53" spans="1:7" ht="75.75" customHeight="1" x14ac:dyDescent="0.3">
      <c r="A53" s="32" t="s">
        <v>57</v>
      </c>
      <c r="B53" s="29" t="s">
        <v>58</v>
      </c>
      <c r="C53" s="30">
        <v>8.0000000000000002E-3</v>
      </c>
      <c r="D53" s="31">
        <f>SUM(E3*C53)/12</f>
        <v>251.74133333333336</v>
      </c>
    </row>
    <row r="54" spans="1:7" ht="52.8" x14ac:dyDescent="0.3">
      <c r="A54" s="32" t="s">
        <v>59</v>
      </c>
      <c r="B54" s="29" t="s">
        <v>60</v>
      </c>
      <c r="C54" s="30">
        <v>1.2999999999999999E-2</v>
      </c>
      <c r="D54" s="31">
        <f>SUM(E3*C54)/12</f>
        <v>409.0796666666667</v>
      </c>
    </row>
    <row r="55" spans="1:7" ht="26.4" x14ac:dyDescent="0.3">
      <c r="A55" s="32" t="s">
        <v>61</v>
      </c>
      <c r="B55" s="29" t="s">
        <v>62</v>
      </c>
      <c r="C55" s="30">
        <v>1.0999999999999999E-2</v>
      </c>
      <c r="D55" s="31">
        <f>SUM(E3*C55)/12</f>
        <v>346.14433333333335</v>
      </c>
    </row>
    <row r="56" spans="1:7" ht="15" thickBot="1" x14ac:dyDescent="0.35">
      <c r="A56" s="33" t="s">
        <v>63</v>
      </c>
      <c r="B56" s="34" t="s">
        <v>64</v>
      </c>
      <c r="C56" s="35">
        <v>8.9999999999999993E-3</v>
      </c>
      <c r="D56" s="31">
        <f>SUM(E3*C56)/12</f>
        <v>283.209</v>
      </c>
    </row>
    <row r="57" spans="1:7" x14ac:dyDescent="0.3">
      <c r="A57" s="11"/>
      <c r="B57" s="36"/>
      <c r="C57" s="37"/>
      <c r="D57" s="38">
        <f>SUM(D52:D56)</f>
        <v>1667.7863333333335</v>
      </c>
    </row>
    <row r="58" spans="1:7" x14ac:dyDescent="0.3">
      <c r="C58" s="39"/>
    </row>
    <row r="59" spans="1:7" x14ac:dyDescent="0.3">
      <c r="A59" s="6"/>
      <c r="C59" s="39"/>
      <c r="F59" s="40"/>
      <c r="G59" s="40"/>
    </row>
    <row r="60" spans="1:7" x14ac:dyDescent="0.3">
      <c r="C60" s="39"/>
      <c r="F60" s="40"/>
      <c r="G60" s="40"/>
    </row>
    <row r="61" spans="1:7" x14ac:dyDescent="0.3">
      <c r="A61" s="6"/>
      <c r="C61" s="39"/>
    </row>
    <row r="62" spans="1:7" x14ac:dyDescent="0.3">
      <c r="A62" s="6"/>
      <c r="C62" s="39"/>
    </row>
    <row r="63" spans="1:7" x14ac:dyDescent="0.3">
      <c r="A63" s="6"/>
    </row>
  </sheetData>
  <mergeCells count="2">
    <mergeCell ref="A1:E1"/>
    <mergeCell ref="A49:B49"/>
  </mergeCells>
  <pageMargins left="0.7" right="0.7" top="0.75" bottom="0.75" header="0.3" footer="0.3"/>
  <pageSetup scale="60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B202-8966-493D-8160-63FE7FFF5079}">
  <dimension ref="A1:J22"/>
  <sheetViews>
    <sheetView zoomScaleNormal="100" zoomScaleSheetLayoutView="100" workbookViewId="0">
      <selection activeCell="N15" sqref="N15"/>
    </sheetView>
  </sheetViews>
  <sheetFormatPr defaultRowHeight="14.4" x14ac:dyDescent="0.3"/>
  <cols>
    <col min="1" max="1" width="14" bestFit="1" customWidth="1"/>
    <col min="2" max="2" width="10.109375" bestFit="1" customWidth="1"/>
    <col min="3" max="3" width="12.44140625" bestFit="1" customWidth="1"/>
    <col min="4" max="4" width="13.88671875" bestFit="1" customWidth="1"/>
    <col min="5" max="5" width="11.44140625" bestFit="1" customWidth="1"/>
    <col min="6" max="6" width="10.6640625" bestFit="1" customWidth="1"/>
    <col min="7" max="7" width="12.44140625" bestFit="1" customWidth="1"/>
    <col min="9" max="9" width="11.21875" customWidth="1"/>
    <col min="10" max="10" width="18.21875" bestFit="1" customWidth="1"/>
  </cols>
  <sheetData>
    <row r="1" spans="1:10" ht="22.8" x14ac:dyDescent="0.4">
      <c r="A1" s="76" t="s">
        <v>65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1.6" thickBot="1" x14ac:dyDescent="0.45">
      <c r="A2" s="77" t="s">
        <v>66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x14ac:dyDescent="0.3">
      <c r="A3" s="41" t="s">
        <v>67</v>
      </c>
      <c r="B3" s="42" t="s">
        <v>68</v>
      </c>
      <c r="C3" s="42" t="s">
        <v>68</v>
      </c>
      <c r="D3" s="42" t="s">
        <v>69</v>
      </c>
      <c r="E3" s="43" t="s">
        <v>70</v>
      </c>
      <c r="F3" s="42" t="s">
        <v>71</v>
      </c>
      <c r="G3" s="42" t="s">
        <v>72</v>
      </c>
      <c r="H3" s="78" t="s">
        <v>73</v>
      </c>
      <c r="I3" s="79"/>
      <c r="J3" s="44" t="s">
        <v>73</v>
      </c>
    </row>
    <row r="4" spans="1:10" x14ac:dyDescent="0.3">
      <c r="A4" s="45"/>
      <c r="B4" s="46" t="s">
        <v>74</v>
      </c>
      <c r="C4" s="46" t="s">
        <v>75</v>
      </c>
      <c r="D4" s="46" t="s">
        <v>76</v>
      </c>
      <c r="E4" s="47" t="s">
        <v>77</v>
      </c>
      <c r="F4" s="46" t="s">
        <v>10</v>
      </c>
      <c r="G4" s="46" t="s">
        <v>73</v>
      </c>
      <c r="H4" s="80" t="s">
        <v>78</v>
      </c>
      <c r="I4" s="81"/>
      <c r="J4" s="48" t="s">
        <v>79</v>
      </c>
    </row>
    <row r="5" spans="1:10" x14ac:dyDescent="0.3">
      <c r="A5" s="45"/>
      <c r="B5" s="46"/>
      <c r="C5" s="46"/>
      <c r="D5" s="46"/>
      <c r="E5" s="47" t="s">
        <v>80</v>
      </c>
      <c r="F5" s="49">
        <v>45657</v>
      </c>
      <c r="G5" s="46" t="s">
        <v>81</v>
      </c>
      <c r="H5" s="80" t="s">
        <v>82</v>
      </c>
      <c r="I5" s="81"/>
      <c r="J5" s="48" t="s">
        <v>83</v>
      </c>
    </row>
    <row r="6" spans="1:10" x14ac:dyDescent="0.3">
      <c r="A6" s="50" t="s">
        <v>84</v>
      </c>
      <c r="B6" s="51">
        <v>20</v>
      </c>
      <c r="C6" s="52">
        <v>650000</v>
      </c>
      <c r="D6" s="51">
        <v>16</v>
      </c>
      <c r="E6" s="53">
        <v>0.25</v>
      </c>
      <c r="F6" s="54">
        <f>F12*E6</f>
        <v>23325.75</v>
      </c>
      <c r="G6" s="54">
        <f>SUM((C6-F6))</f>
        <v>626674.25</v>
      </c>
      <c r="H6" s="82">
        <f>SUM(G6/D6)</f>
        <v>39167.140625</v>
      </c>
      <c r="I6" s="83"/>
      <c r="J6" s="55">
        <f t="shared" ref="J6:J11" si="0">H6*0.4</f>
        <v>15666.856250000001</v>
      </c>
    </row>
    <row r="7" spans="1:10" x14ac:dyDescent="0.3">
      <c r="A7" s="50" t="s">
        <v>85</v>
      </c>
      <c r="B7" s="51">
        <v>30</v>
      </c>
      <c r="C7" s="52">
        <v>500000</v>
      </c>
      <c r="D7" s="51">
        <v>26</v>
      </c>
      <c r="E7" s="53">
        <v>0.1</v>
      </c>
      <c r="F7" s="54">
        <f>F12*E7</f>
        <v>9330.3000000000011</v>
      </c>
      <c r="G7" s="54">
        <f>C7-F7</f>
        <v>490669.7</v>
      </c>
      <c r="H7" s="82">
        <f>G7/D7</f>
        <v>18871.91153846154</v>
      </c>
      <c r="I7" s="83"/>
      <c r="J7" s="55">
        <f t="shared" si="0"/>
        <v>7548.7646153846163</v>
      </c>
    </row>
    <row r="8" spans="1:10" x14ac:dyDescent="0.3">
      <c r="A8" s="50" t="s">
        <v>86</v>
      </c>
      <c r="B8" s="51">
        <v>8</v>
      </c>
      <c r="C8" s="54">
        <v>60000</v>
      </c>
      <c r="D8" s="51">
        <v>2</v>
      </c>
      <c r="E8" s="53">
        <v>0.1</v>
      </c>
      <c r="F8" s="54">
        <f>F12*E8</f>
        <v>9330.3000000000011</v>
      </c>
      <c r="G8" s="54">
        <f>SUM(C8-F8)</f>
        <v>50669.7</v>
      </c>
      <c r="H8" s="82">
        <f>SUM(G8/D8)</f>
        <v>25334.85</v>
      </c>
      <c r="I8" s="83"/>
      <c r="J8" s="55">
        <f t="shared" si="0"/>
        <v>10133.94</v>
      </c>
    </row>
    <row r="9" spans="1:10" ht="27" x14ac:dyDescent="0.3">
      <c r="A9" s="56" t="s">
        <v>87</v>
      </c>
      <c r="B9" s="51">
        <v>20</v>
      </c>
      <c r="C9" s="54">
        <v>250000</v>
      </c>
      <c r="D9" s="51">
        <v>17</v>
      </c>
      <c r="E9" s="53">
        <v>0.25</v>
      </c>
      <c r="F9" s="54">
        <f>F12*E9</f>
        <v>23325.75</v>
      </c>
      <c r="G9" s="54">
        <f>SUM(C9-F9)</f>
        <v>226674.25</v>
      </c>
      <c r="H9" s="82">
        <f>SUM(G9/D9)</f>
        <v>13333.779411764706</v>
      </c>
      <c r="I9" s="83"/>
      <c r="J9" s="55">
        <f t="shared" si="0"/>
        <v>5333.5117647058833</v>
      </c>
    </row>
    <row r="10" spans="1:10" x14ac:dyDescent="0.3">
      <c r="A10" s="50" t="s">
        <v>88</v>
      </c>
      <c r="B10" s="51">
        <v>20</v>
      </c>
      <c r="C10" s="54">
        <v>100000</v>
      </c>
      <c r="D10" s="51">
        <v>1</v>
      </c>
      <c r="E10" s="53">
        <v>0.15</v>
      </c>
      <c r="F10" s="54">
        <f>F12*E10</f>
        <v>13995.449999999999</v>
      </c>
      <c r="G10" s="54">
        <f>SUM(C10-F10)</f>
        <v>86004.55</v>
      </c>
      <c r="H10" s="82">
        <f>SUM(G10/D10)</f>
        <v>86004.55</v>
      </c>
      <c r="I10" s="83"/>
      <c r="J10" s="57">
        <f t="shared" si="0"/>
        <v>34401.82</v>
      </c>
    </row>
    <row r="11" spans="1:10" x14ac:dyDescent="0.3">
      <c r="A11" s="50" t="s">
        <v>89</v>
      </c>
      <c r="B11" s="51">
        <v>8</v>
      </c>
      <c r="C11" s="54">
        <v>100000</v>
      </c>
      <c r="D11" s="51">
        <v>1</v>
      </c>
      <c r="E11" s="53">
        <v>0.15</v>
      </c>
      <c r="F11" s="54">
        <f>SUM(F12*E11)</f>
        <v>13995.449999999999</v>
      </c>
      <c r="G11" s="54">
        <f>SUM(C11-F11)</f>
        <v>86004.55</v>
      </c>
      <c r="H11" s="82">
        <f>SUM(G11/D11)</f>
        <v>86004.55</v>
      </c>
      <c r="I11" s="83"/>
      <c r="J11" s="57">
        <f t="shared" si="0"/>
        <v>34401.82</v>
      </c>
    </row>
    <row r="12" spans="1:10" ht="15" thickBot="1" x14ac:dyDescent="0.35">
      <c r="A12" s="58" t="s">
        <v>90</v>
      </c>
      <c r="B12" s="59"/>
      <c r="C12" s="60">
        <f>SUM(C6:C11)</f>
        <v>1660000</v>
      </c>
      <c r="D12" s="59"/>
      <c r="E12" s="61">
        <f>SUM(E6:E11)</f>
        <v>1</v>
      </c>
      <c r="F12" s="62">
        <f>87601+2851+2851</f>
        <v>93303</v>
      </c>
      <c r="G12" s="60">
        <f>SUM(G6:G11)</f>
        <v>1566697</v>
      </c>
      <c r="H12" s="74">
        <f>SUM(H6:I11)</f>
        <v>268716.78157522622</v>
      </c>
      <c r="I12" s="75"/>
      <c r="J12" s="63">
        <f>SUM(J6:J11)</f>
        <v>107486.71263009051</v>
      </c>
    </row>
    <row r="13" spans="1:10" x14ac:dyDescent="0.3">
      <c r="F13" s="64">
        <f>'[1]reserves 2024 (2)'!F12+'[1]reserves 2024 (2)'!J12</f>
        <v>90143.727503267975</v>
      </c>
    </row>
    <row r="14" spans="1:10" ht="93.6" x14ac:dyDescent="0.3">
      <c r="A14" s="65"/>
      <c r="B14" s="91" t="s">
        <v>52</v>
      </c>
      <c r="C14" s="91"/>
      <c r="D14" s="66" t="s">
        <v>53</v>
      </c>
      <c r="E14" s="92" t="s">
        <v>91</v>
      </c>
      <c r="F14" s="93"/>
      <c r="G14" s="66" t="s">
        <v>92</v>
      </c>
      <c r="H14" s="67" t="s">
        <v>93</v>
      </c>
      <c r="I14" s="66" t="s">
        <v>94</v>
      </c>
      <c r="J14" s="68" t="s">
        <v>95</v>
      </c>
    </row>
    <row r="15" spans="1:10" ht="31.2" x14ac:dyDescent="0.3">
      <c r="A15" s="65" t="s">
        <v>55</v>
      </c>
      <c r="B15" s="84" t="s">
        <v>56</v>
      </c>
      <c r="C15" s="84"/>
      <c r="D15" s="84"/>
      <c r="E15" s="65">
        <v>1.2E-2</v>
      </c>
      <c r="F15" s="69">
        <f>SUM('[1]budget 2025'!D52)</f>
        <v>377.61200000000002</v>
      </c>
      <c r="G15" s="69">
        <f>SUM(H12*E15)/12</f>
        <v>268.71678157522621</v>
      </c>
      <c r="H15" s="70">
        <f>SUM(F15+G15)</f>
        <v>646.32878157522623</v>
      </c>
      <c r="I15" s="69">
        <f>SUM(G15*0.4)</f>
        <v>107.48671263009049</v>
      </c>
      <c r="J15" s="71">
        <f>F15+I15</f>
        <v>485.09871263009052</v>
      </c>
    </row>
    <row r="16" spans="1:10" ht="31.2" x14ac:dyDescent="0.3">
      <c r="A16" s="65" t="s">
        <v>57</v>
      </c>
      <c r="B16" s="84" t="s">
        <v>58</v>
      </c>
      <c r="C16" s="84"/>
      <c r="D16" s="84"/>
      <c r="E16" s="65">
        <v>8.0000000000000002E-3</v>
      </c>
      <c r="F16" s="69">
        <f>SUM('[1]budget 2025'!D53)</f>
        <v>251.74133333333336</v>
      </c>
      <c r="G16" s="69">
        <f>(H12*E16)/12</f>
        <v>179.14452105015081</v>
      </c>
      <c r="H16" s="70">
        <f>SUM(F16+G16)</f>
        <v>430.88585438348417</v>
      </c>
      <c r="I16" s="69">
        <f t="shared" ref="I16:I19" si="1">SUM(G16*0.4)</f>
        <v>71.657808420060334</v>
      </c>
      <c r="J16" s="71">
        <f>F16+I16</f>
        <v>323.39914175339368</v>
      </c>
    </row>
    <row r="17" spans="1:10" ht="31.2" x14ac:dyDescent="0.3">
      <c r="A17" s="65" t="s">
        <v>59</v>
      </c>
      <c r="B17" s="84" t="s">
        <v>60</v>
      </c>
      <c r="C17" s="84"/>
      <c r="D17" s="84"/>
      <c r="E17" s="65">
        <v>1.2999999999999999E-2</v>
      </c>
      <c r="F17" s="69">
        <f>SUM('[1]budget 2025'!D54)</f>
        <v>409.0796666666667</v>
      </c>
      <c r="G17" s="69">
        <f>SUM(H12*E17/12)</f>
        <v>291.10984670649503</v>
      </c>
      <c r="H17" s="70">
        <f>SUM(F17+G17)</f>
        <v>700.18951337316173</v>
      </c>
      <c r="I17" s="69">
        <f t="shared" si="1"/>
        <v>116.44393868259802</v>
      </c>
      <c r="J17" s="71">
        <f>F17+I17</f>
        <v>525.5236053492647</v>
      </c>
    </row>
    <row r="18" spans="1:10" ht="31.2" x14ac:dyDescent="0.3">
      <c r="A18" s="65" t="s">
        <v>61</v>
      </c>
      <c r="B18" s="84" t="s">
        <v>62</v>
      </c>
      <c r="C18" s="84"/>
      <c r="D18" s="84"/>
      <c r="E18" s="65">
        <v>1.0999999999999999E-2</v>
      </c>
      <c r="F18" s="69">
        <f>SUM('[1]budget 2025'!D55)</f>
        <v>346.14433333333335</v>
      </c>
      <c r="G18" s="69">
        <f>SUM(H12*E18/12)</f>
        <v>246.32371644395735</v>
      </c>
      <c r="H18" s="70">
        <f>SUM(F18+G18)</f>
        <v>592.46804977729073</v>
      </c>
      <c r="I18" s="69">
        <f t="shared" si="1"/>
        <v>98.529486577582944</v>
      </c>
      <c r="J18" s="71">
        <f>F18+I18</f>
        <v>444.67381991091628</v>
      </c>
    </row>
    <row r="19" spans="1:10" ht="31.2" x14ac:dyDescent="0.3">
      <c r="A19" s="65" t="s">
        <v>63</v>
      </c>
      <c r="B19" s="84" t="s">
        <v>64</v>
      </c>
      <c r="C19" s="84"/>
      <c r="D19" s="84"/>
      <c r="E19" s="65">
        <v>8.9999999999999993E-3</v>
      </c>
      <c r="F19" s="69">
        <f>SUM('[1]budget 2025'!D56)</f>
        <v>283.209</v>
      </c>
      <c r="G19" s="69">
        <f>SUM(H12*E19/12)</f>
        <v>201.53758618141967</v>
      </c>
      <c r="H19" s="70">
        <f>SUM(F19+G19)</f>
        <v>484.74658618141967</v>
      </c>
      <c r="I19" s="69">
        <f t="shared" si="1"/>
        <v>80.615034472567871</v>
      </c>
      <c r="J19" s="71">
        <f>F19+I19</f>
        <v>363.82403447256786</v>
      </c>
    </row>
    <row r="20" spans="1:10" ht="15" thickBot="1" x14ac:dyDescent="0.35"/>
    <row r="21" spans="1:10" x14ac:dyDescent="0.3">
      <c r="A21" s="85" t="s">
        <v>96</v>
      </c>
      <c r="B21" s="86"/>
      <c r="C21" s="86"/>
      <c r="D21" s="86"/>
      <c r="E21" s="86"/>
      <c r="F21" s="86"/>
      <c r="G21" s="86"/>
      <c r="H21" s="86"/>
      <c r="I21" s="86"/>
      <c r="J21" s="87"/>
    </row>
    <row r="22" spans="1:10" ht="42.45" customHeight="1" thickBot="1" x14ac:dyDescent="0.35">
      <c r="A22" s="88"/>
      <c r="B22" s="89"/>
      <c r="C22" s="89"/>
      <c r="D22" s="89"/>
      <c r="E22" s="89"/>
      <c r="F22" s="89"/>
      <c r="G22" s="89"/>
      <c r="H22" s="89"/>
      <c r="I22" s="89"/>
      <c r="J22" s="90"/>
    </row>
  </sheetData>
  <mergeCells count="20">
    <mergeCell ref="B19:D19"/>
    <mergeCell ref="A21:J22"/>
    <mergeCell ref="B14:C14"/>
    <mergeCell ref="E14:F14"/>
    <mergeCell ref="B15:D15"/>
    <mergeCell ref="B16:D16"/>
    <mergeCell ref="B17:D17"/>
    <mergeCell ref="B18:D18"/>
    <mergeCell ref="H12:I12"/>
    <mergeCell ref="A1:J1"/>
    <mergeCell ref="A2:J2"/>
    <mergeCell ref="H3:I3"/>
    <mergeCell ref="H4:I4"/>
    <mergeCell ref="H5:I5"/>
    <mergeCell ref="H6:I6"/>
    <mergeCell ref="H7:I7"/>
    <mergeCell ref="H8:I8"/>
    <mergeCell ref="H9:I9"/>
    <mergeCell ref="H10:I10"/>
    <mergeCell ref="H11:I11"/>
  </mergeCells>
  <pageMargins left="0.7" right="0.7" top="0.75" bottom="0.75" header="0.3" footer="0.3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blum</dc:creator>
  <cp:lastModifiedBy>jamie blum</cp:lastModifiedBy>
  <cp:lastPrinted>2025-02-04T23:08:42Z</cp:lastPrinted>
  <dcterms:created xsi:type="dcterms:W3CDTF">2025-02-04T23:06:57Z</dcterms:created>
  <dcterms:modified xsi:type="dcterms:W3CDTF">2025-03-02T21:43:07Z</dcterms:modified>
</cp:coreProperties>
</file>