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20F27DFD-77A6-48EC-83A0-4895A46D974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udget 2025" sheetId="18" r:id="rId1"/>
    <sheet name="reserves 2025" sheetId="19" r:id="rId2"/>
  </sheets>
  <definedNames>
    <definedName name="_xlnm.Print_Area" localSheetId="0">'budget 2025'!$A$1:$D$55</definedName>
    <definedName name="_xlnm.Print_Area" localSheetId="1">'reserves 2025'!$A$1:$I$22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7" i="18" l="1"/>
  <c r="D14" i="18"/>
  <c r="D50" i="18"/>
  <c r="D8" i="18" s="1"/>
  <c r="D26" i="18"/>
  <c r="D49" i="18"/>
  <c r="J61" i="18"/>
  <c r="J60" i="18"/>
  <c r="D37" i="18"/>
  <c r="D39" i="18" s="1"/>
  <c r="D41" i="18"/>
  <c r="D43" i="18" s="1"/>
  <c r="H9" i="18"/>
  <c r="B14" i="18"/>
  <c r="K15" i="19"/>
  <c r="K14" i="19"/>
  <c r="K16" i="19" s="1"/>
  <c r="D11" i="19"/>
  <c r="C11" i="19"/>
  <c r="G11" i="19" s="1"/>
  <c r="E10" i="19"/>
  <c r="G10" i="19" s="1"/>
  <c r="H10" i="19" s="1"/>
  <c r="I10" i="19" s="1"/>
  <c r="E9" i="19"/>
  <c r="G9" i="19" s="1"/>
  <c r="H9" i="19" s="1"/>
  <c r="I9" i="19" s="1"/>
  <c r="E8" i="19"/>
  <c r="G8" i="19" s="1"/>
  <c r="H8" i="19" s="1"/>
  <c r="I8" i="19" s="1"/>
  <c r="E7" i="19"/>
  <c r="G7" i="19" s="1"/>
  <c r="H7" i="19" s="1"/>
  <c r="I7" i="19" s="1"/>
  <c r="H6" i="19"/>
  <c r="I6" i="19" s="1"/>
  <c r="E5" i="19"/>
  <c r="G5" i="19" s="1"/>
  <c r="H5" i="19" s="1"/>
  <c r="H61" i="18"/>
  <c r="H60" i="18"/>
  <c r="J53" i="18"/>
  <c r="J52" i="18"/>
  <c r="M50" i="18"/>
  <c r="C49" i="18"/>
  <c r="B49" i="18"/>
  <c r="J43" i="18"/>
  <c r="C43" i="18"/>
  <c r="B43" i="18"/>
  <c r="H42" i="18"/>
  <c r="C39" i="18"/>
  <c r="B39" i="18"/>
  <c r="M37" i="18"/>
  <c r="M38" i="18" s="1"/>
  <c r="M36" i="18"/>
  <c r="C35" i="18"/>
  <c r="B35" i="18"/>
  <c r="L31" i="18"/>
  <c r="L29" i="18"/>
  <c r="D28" i="18"/>
  <c r="D35" i="18" s="1"/>
  <c r="B26" i="18"/>
  <c r="C25" i="18"/>
  <c r="C26" i="18" s="1"/>
  <c r="H18" i="18"/>
  <c r="C14" i="18"/>
  <c r="H62" i="18" l="1"/>
  <c r="H63" i="18" s="1"/>
  <c r="N38" i="18"/>
  <c r="N39" i="18" s="1"/>
  <c r="N40" i="18" s="1"/>
  <c r="B50" i="18"/>
  <c r="C50" i="18"/>
  <c r="I5" i="19"/>
  <c r="I11" i="19" s="1"/>
  <c r="H11" i="19"/>
  <c r="K53" i="18" l="1"/>
  <c r="L53" i="18" s="1"/>
  <c r="G54" i="18"/>
  <c r="K52" i="18"/>
  <c r="L52" i="18" s="1"/>
  <c r="M29" i="18"/>
  <c r="G50" i="18"/>
  <c r="M31" i="18"/>
  <c r="G53" i="18"/>
  <c r="K8" i="19"/>
  <c r="E14" i="19"/>
  <c r="E15" i="19"/>
  <c r="G14" i="19"/>
  <c r="G15" i="19"/>
  <c r="H43" i="18" l="1"/>
  <c r="H44" i="18" s="1"/>
  <c r="O49" i="18"/>
  <c r="I57" i="18"/>
  <c r="H29" i="18"/>
  <c r="I56" i="18"/>
  <c r="L45" i="18" l="1"/>
  <c r="L46" i="18"/>
  <c r="I14" i="19"/>
  <c r="I15" i="19"/>
  <c r="O50" i="18"/>
  <c r="O51" i="18" s="1"/>
  <c r="L47" i="18" l="1"/>
</calcChain>
</file>

<file path=xl/sharedStrings.xml><?xml version="1.0" encoding="utf-8"?>
<sst xmlns="http://schemas.openxmlformats.org/spreadsheetml/2006/main" count="101" uniqueCount="93">
  <si>
    <t>The Town Colony Condominium Association, Inc</t>
  </si>
  <si>
    <t>Income:</t>
  </si>
  <si>
    <t>Maintenance Fees</t>
  </si>
  <si>
    <t>Late Fees</t>
  </si>
  <si>
    <t>Total Income</t>
  </si>
  <si>
    <t>Laundry Income</t>
  </si>
  <si>
    <t>Expenses:</t>
  </si>
  <si>
    <t>Admin &amp; Management</t>
  </si>
  <si>
    <t>Accounting Expense</t>
  </si>
  <si>
    <t>Insurance Expense</t>
  </si>
  <si>
    <t>Legal Fees</t>
  </si>
  <si>
    <t>License &amp; Permit</t>
  </si>
  <si>
    <t>Office Supplies</t>
  </si>
  <si>
    <t>Postage</t>
  </si>
  <si>
    <t>Total Admin &amp; Management</t>
  </si>
  <si>
    <t>Management</t>
  </si>
  <si>
    <t>Building Maintenance</t>
  </si>
  <si>
    <t>Pest Control</t>
  </si>
  <si>
    <t>Repairs &amp; Maintenance</t>
  </si>
  <si>
    <t>Supplies</t>
  </si>
  <si>
    <t>Cleaning Personnel</t>
  </si>
  <si>
    <t>Total Building Maintenance</t>
  </si>
  <si>
    <t>Grounds Expense</t>
  </si>
  <si>
    <t>Lawn Service</t>
  </si>
  <si>
    <t>Tree Trimming</t>
  </si>
  <si>
    <t>Total Ground Expense</t>
  </si>
  <si>
    <t>Pool Expense</t>
  </si>
  <si>
    <t>Pool Repairs</t>
  </si>
  <si>
    <t>Total Pool Expense</t>
  </si>
  <si>
    <t>Utility Expense</t>
  </si>
  <si>
    <t>Water Expense</t>
  </si>
  <si>
    <t>Garbage</t>
  </si>
  <si>
    <t>Electric</t>
  </si>
  <si>
    <t>Lift Station</t>
  </si>
  <si>
    <t>Pool Maintenance</t>
  </si>
  <si>
    <t>Total Utility Expense</t>
  </si>
  <si>
    <t>Laundry Room Expense</t>
  </si>
  <si>
    <t>Lift Station Expense</t>
  </si>
  <si>
    <t xml:space="preserve">Total Expenses:  </t>
  </si>
  <si>
    <t>Item</t>
  </si>
  <si>
    <t>Estimated</t>
  </si>
  <si>
    <t>% Per Each</t>
  </si>
  <si>
    <t xml:space="preserve">Money in </t>
  </si>
  <si>
    <t>Years left</t>
  </si>
  <si>
    <t xml:space="preserve">Amount </t>
  </si>
  <si>
    <t>Required</t>
  </si>
  <si>
    <t>Life</t>
  </si>
  <si>
    <t>Cost</t>
  </si>
  <si>
    <t>Reserve</t>
  </si>
  <si>
    <t>Reserves</t>
  </si>
  <si>
    <t xml:space="preserve">for </t>
  </si>
  <si>
    <t>Account</t>
  </si>
  <si>
    <t>Replacement</t>
  </si>
  <si>
    <t>for Life</t>
  </si>
  <si>
    <t>Full Reserves</t>
  </si>
  <si>
    <t>Painting</t>
  </si>
  <si>
    <t>Roof</t>
  </si>
  <si>
    <t>Paving/Maintenance</t>
  </si>
  <si>
    <t>Total</t>
  </si>
  <si>
    <t>Monthly Maintenance Per Unit</t>
  </si>
  <si>
    <t>With Reserves at 100% Per Month</t>
  </si>
  <si>
    <t>Maintenance fees with reserves</t>
  </si>
  <si>
    <t xml:space="preserve">1 Bedroom </t>
  </si>
  <si>
    <t>2 Bedroom</t>
  </si>
  <si>
    <t>Total with Partial</t>
  </si>
  <si>
    <t>Pool</t>
  </si>
  <si>
    <t>*The Florida Statues require the Board of Directors to adopt a budget with full reserves.  The unit owners at a duly called meeting, may vote against the funding of full reserves or may opt to vote for reserves "less than adequate". (Partial Reserves)</t>
  </si>
  <si>
    <t>56 Units</t>
  </si>
  <si>
    <t>% breakdown</t>
  </si>
  <si>
    <t>Monthly</t>
  </si>
  <si>
    <t>16 Units - 2 bedrooms</t>
  </si>
  <si>
    <t>40 Units - 1 bedroom</t>
  </si>
  <si>
    <t>Breakdown</t>
  </si>
  <si>
    <t>Concrete Repairs</t>
  </si>
  <si>
    <t>30% Difference of bedroom size</t>
  </si>
  <si>
    <t>Partial Reserves 16%</t>
  </si>
  <si>
    <t>Partial Reserves at 16%</t>
  </si>
  <si>
    <t>Reserves - Partial</t>
  </si>
  <si>
    <t>Assessment</t>
  </si>
  <si>
    <t>Loan Repayment</t>
  </si>
  <si>
    <t>Painting and Concrete</t>
  </si>
  <si>
    <t>One time payment</t>
  </si>
  <si>
    <t>6 equal payments</t>
  </si>
  <si>
    <t>Assessment from January 1, 2024 to June 2024</t>
  </si>
  <si>
    <t>Proposed Budget for 2025</t>
  </si>
  <si>
    <t>Approved Budget for 2024</t>
  </si>
  <si>
    <t>Estimated for 2024</t>
  </si>
  <si>
    <t>Projected Budget for 2025</t>
  </si>
  <si>
    <t>2025 Budget</t>
  </si>
  <si>
    <t>Reserves 2025</t>
  </si>
  <si>
    <t>Website</t>
  </si>
  <si>
    <t>Loan Income</t>
  </si>
  <si>
    <t>January 1, 2025 to 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</si>
</sst>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3" borderId="0" applyNumberFormat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8" fontId="0" fillId="0" borderId="0" xfId="0" applyNumberFormat="1"/>
    <xf numFmtId="164" fontId="0" fillId="0" borderId="0" xfId="0" applyNumberFormat="1"/>
    <xf numFmtId="0" fontId="3" fillId="0" borderId="0" xfId="0" applyFont="1"/>
    <xf numFmtId="0" fontId="2" fillId="0" borderId="3" xfId="0" applyFont="1" applyBorder="1"/>
    <xf numFmtId="14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8" fontId="3" fillId="0" borderId="3" xfId="0" applyNumberFormat="1" applyFont="1" applyBorder="1"/>
    <xf numFmtId="10" fontId="3" fillId="0" borderId="3" xfId="0" applyNumberFormat="1" applyFont="1" applyBorder="1" applyAlignment="1">
      <alignment horizontal="center"/>
    </xf>
    <xf numFmtId="8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8" fontId="2" fillId="0" borderId="3" xfId="0" applyNumberFormat="1" applyFont="1" applyBorder="1"/>
    <xf numFmtId="10" fontId="2" fillId="0" borderId="3" xfId="0" applyNumberFormat="1" applyFont="1" applyBorder="1" applyAlignment="1">
      <alignment horizontal="center"/>
    </xf>
    <xf numFmtId="8" fontId="2" fillId="0" borderId="3" xfId="0" applyNumberFormat="1" applyFont="1" applyBorder="1" applyAlignment="1">
      <alignment horizontal="center"/>
    </xf>
    <xf numFmtId="6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8" fontId="2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164" fontId="5" fillId="0" borderId="0" xfId="0" applyNumberFormat="1" applyFont="1"/>
    <xf numFmtId="6" fontId="2" fillId="0" borderId="3" xfId="0" applyNumberFormat="1" applyFont="1" applyBorder="1" applyAlignment="1">
      <alignment horizontal="center" vertical="center"/>
    </xf>
    <xf numFmtId="6" fontId="2" fillId="0" borderId="3" xfId="0" applyNumberFormat="1" applyFont="1" applyBorder="1" applyAlignment="1">
      <alignment horizontal="center" vertical="center" wrapText="1"/>
    </xf>
    <xf numFmtId="6" fontId="0" fillId="0" borderId="0" xfId="0" applyNumberFormat="1"/>
    <xf numFmtId="0" fontId="1" fillId="0" borderId="3" xfId="0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0" fontId="6" fillId="0" borderId="3" xfId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165" fontId="3" fillId="0" borderId="7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8" fontId="2" fillId="0" borderId="7" xfId="0" applyNumberFormat="1" applyFont="1" applyBorder="1" applyAlignment="1">
      <alignment horizontal="center" vertical="center" wrapText="1"/>
    </xf>
    <xf numFmtId="8" fontId="2" fillId="0" borderId="9" xfId="0" applyNumberFormat="1" applyFont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8" fontId="2" fillId="0" borderId="8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8" fontId="1" fillId="0" borderId="14" xfId="0" applyNumberFormat="1" applyFont="1" applyBorder="1" applyAlignment="1">
      <alignment horizontal="center" vertical="center"/>
    </xf>
    <xf numFmtId="8" fontId="1" fillId="0" borderId="15" xfId="0" applyNumberFormat="1" applyFont="1" applyBorder="1" applyAlignment="1">
      <alignment horizontal="center" vertical="center"/>
    </xf>
  </cellXfs>
  <cellStyles count="2">
    <cellStyle name="40% - Accent4" xfId="1" builtinId="4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160DC-CBA2-43D2-8D67-D546707CD156}">
  <sheetPr>
    <tabColor rgb="FFFFFF00"/>
  </sheetPr>
  <dimension ref="A1:O63"/>
  <sheetViews>
    <sheetView tabSelected="1" zoomScale="90" zoomScaleNormal="90" workbookViewId="0">
      <selection activeCell="A2" sqref="A2:D2"/>
    </sheetView>
  </sheetViews>
  <sheetFormatPr defaultRowHeight="14.4" x14ac:dyDescent="0.3"/>
  <cols>
    <col min="1" max="1" width="24.88671875" bestFit="1" customWidth="1"/>
    <col min="2" max="2" width="33.88671875" bestFit="1" customWidth="1"/>
    <col min="3" max="3" width="24.5546875" bestFit="1" customWidth="1"/>
    <col min="4" max="4" width="24.33203125" bestFit="1" customWidth="1"/>
    <col min="6" max="6" width="3" customWidth="1"/>
    <col min="7" max="7" width="13.44140625" bestFit="1" customWidth="1"/>
    <col min="8" max="8" width="11.33203125" bestFit="1" customWidth="1"/>
    <col min="9" max="9" width="9.33203125" bestFit="1" customWidth="1"/>
    <col min="10" max="10" width="10.5546875" bestFit="1" customWidth="1"/>
    <col min="11" max="11" width="9.44140625" bestFit="1" customWidth="1"/>
    <col min="12" max="12" width="13.109375" bestFit="1" customWidth="1"/>
    <col min="13" max="13" width="17.88671875" bestFit="1" customWidth="1"/>
    <col min="14" max="15" width="11.109375" bestFit="1" customWidth="1"/>
  </cols>
  <sheetData>
    <row r="1" spans="1:8" ht="18" x14ac:dyDescent="0.35">
      <c r="A1" s="39" t="s">
        <v>0</v>
      </c>
      <c r="B1" s="39"/>
      <c r="C1" s="39"/>
      <c r="D1" s="39"/>
    </row>
    <row r="2" spans="1:8" ht="18" x14ac:dyDescent="0.35">
      <c r="A2" s="39" t="s">
        <v>84</v>
      </c>
      <c r="B2" s="39"/>
      <c r="C2" s="39"/>
      <c r="D2" s="39"/>
    </row>
    <row r="3" spans="1:8" ht="18" x14ac:dyDescent="0.35">
      <c r="A3" s="39" t="s">
        <v>92</v>
      </c>
      <c r="B3" s="39"/>
      <c r="C3" s="39"/>
      <c r="D3" s="39"/>
    </row>
    <row r="4" spans="1:8" ht="18" x14ac:dyDescent="0.35">
      <c r="A4" s="6"/>
      <c r="B4" s="20"/>
      <c r="C4" s="20"/>
      <c r="D4" s="20"/>
    </row>
    <row r="5" spans="1:8" x14ac:dyDescent="0.3">
      <c r="B5" s="40" t="s">
        <v>85</v>
      </c>
      <c r="C5" s="40" t="s">
        <v>86</v>
      </c>
      <c r="D5" s="40" t="s">
        <v>87</v>
      </c>
    </row>
    <row r="6" spans="1:8" x14ac:dyDescent="0.3">
      <c r="B6" s="40"/>
      <c r="C6" s="40"/>
      <c r="D6" s="40"/>
    </row>
    <row r="7" spans="1:8" x14ac:dyDescent="0.3">
      <c r="A7" s="2" t="s">
        <v>1</v>
      </c>
      <c r="B7" s="1"/>
      <c r="C7" s="1"/>
      <c r="D7" s="1"/>
    </row>
    <row r="8" spans="1:8" ht="18" x14ac:dyDescent="0.35">
      <c r="A8" t="s">
        <v>2</v>
      </c>
      <c r="B8" s="21">
        <v>327563.33</v>
      </c>
      <c r="C8" s="21">
        <v>337000</v>
      </c>
      <c r="D8" s="21">
        <f>SUM(D50-D9-D10-D13)-18500</f>
        <v>328565</v>
      </c>
    </row>
    <row r="9" spans="1:8" ht="18" x14ac:dyDescent="0.35">
      <c r="A9" t="s">
        <v>3</v>
      </c>
      <c r="B9" s="21">
        <v>235</v>
      </c>
      <c r="C9" s="21">
        <v>3600</v>
      </c>
      <c r="D9" s="21">
        <v>235</v>
      </c>
      <c r="H9">
        <f>200000/8</f>
        <v>25000</v>
      </c>
    </row>
    <row r="10" spans="1:8" ht="18" x14ac:dyDescent="0.35">
      <c r="A10" t="s">
        <v>78</v>
      </c>
      <c r="B10" s="21">
        <v>200000</v>
      </c>
      <c r="C10" s="21">
        <v>200000</v>
      </c>
      <c r="D10" s="21">
        <v>100000</v>
      </c>
    </row>
    <row r="11" spans="1:8" ht="18" x14ac:dyDescent="0.35">
      <c r="A11" t="s">
        <v>91</v>
      </c>
      <c r="B11" s="21">
        <v>0</v>
      </c>
      <c r="C11" s="21">
        <v>0</v>
      </c>
      <c r="D11" s="21">
        <v>18500</v>
      </c>
    </row>
    <row r="12" spans="1:8" ht="18" x14ac:dyDescent="0.35">
      <c r="A12" t="s">
        <v>77</v>
      </c>
      <c r="B12" s="21">
        <v>10000</v>
      </c>
      <c r="C12" s="21">
        <v>10000</v>
      </c>
      <c r="D12" s="21">
        <v>0</v>
      </c>
    </row>
    <row r="13" spans="1:8" ht="18.600000000000001" thickBot="1" x14ac:dyDescent="0.4">
      <c r="A13" t="s">
        <v>5</v>
      </c>
      <c r="B13" s="22">
        <v>1700</v>
      </c>
      <c r="C13" s="22">
        <v>6800</v>
      </c>
      <c r="D13" s="22">
        <v>7000</v>
      </c>
    </row>
    <row r="14" spans="1:8" ht="18" x14ac:dyDescent="0.35">
      <c r="A14" s="2" t="s">
        <v>4</v>
      </c>
      <c r="B14" s="23">
        <f>SUM(B8:B13)</f>
        <v>539498.33000000007</v>
      </c>
      <c r="C14" s="23">
        <f>SUM(C8:C13)</f>
        <v>557400</v>
      </c>
      <c r="D14" s="23">
        <f>SUM(D8:D13)</f>
        <v>454300</v>
      </c>
      <c r="G14" s="5"/>
    </row>
    <row r="15" spans="1:8" ht="18" x14ac:dyDescent="0.35">
      <c r="A15" s="2" t="s">
        <v>6</v>
      </c>
      <c r="B15" s="21"/>
      <c r="C15" s="21"/>
      <c r="D15" s="21"/>
      <c r="G15" s="5"/>
    </row>
    <row r="16" spans="1:8" ht="18" x14ac:dyDescent="0.35">
      <c r="A16" s="2" t="s">
        <v>7</v>
      </c>
      <c r="B16" s="21"/>
      <c r="C16" s="21"/>
      <c r="D16" s="21"/>
    </row>
    <row r="17" spans="1:13" ht="18" x14ac:dyDescent="0.35">
      <c r="A17" t="s">
        <v>8</v>
      </c>
      <c r="B17" s="21">
        <v>325</v>
      </c>
      <c r="C17" s="21">
        <v>700</v>
      </c>
      <c r="D17" s="21">
        <v>700</v>
      </c>
    </row>
    <row r="18" spans="1:13" ht="18" x14ac:dyDescent="0.35">
      <c r="A18" t="s">
        <v>9</v>
      </c>
      <c r="B18" s="21">
        <v>195000</v>
      </c>
      <c r="C18" s="21">
        <v>195000</v>
      </c>
      <c r="D18" s="21">
        <v>210000</v>
      </c>
      <c r="H18">
        <f>15000*12</f>
        <v>180000</v>
      </c>
    </row>
    <row r="19" spans="1:13" ht="18" x14ac:dyDescent="0.35">
      <c r="A19" t="s">
        <v>10</v>
      </c>
      <c r="B19" s="21">
        <v>2000</v>
      </c>
      <c r="C19" s="21">
        <v>5000</v>
      </c>
      <c r="D19" s="21">
        <v>5000</v>
      </c>
    </row>
    <row r="20" spans="1:13" ht="18" x14ac:dyDescent="0.35">
      <c r="A20" t="s">
        <v>11</v>
      </c>
      <c r="B20" s="21">
        <v>1200</v>
      </c>
      <c r="C20" s="21">
        <v>1500</v>
      </c>
      <c r="D20" s="21">
        <v>1500</v>
      </c>
    </row>
    <row r="21" spans="1:13" ht="18" x14ac:dyDescent="0.35">
      <c r="A21" t="s">
        <v>79</v>
      </c>
      <c r="B21" s="21">
        <v>8400</v>
      </c>
      <c r="C21" s="21">
        <v>18500</v>
      </c>
      <c r="D21" s="21">
        <v>18500</v>
      </c>
    </row>
    <row r="22" spans="1:13" ht="18" x14ac:dyDescent="0.35">
      <c r="A22" t="s">
        <v>12</v>
      </c>
      <c r="B22" s="21">
        <v>1200</v>
      </c>
      <c r="C22" s="21">
        <v>1600</v>
      </c>
      <c r="D22" s="21">
        <v>1600</v>
      </c>
    </row>
    <row r="23" spans="1:13" ht="18" x14ac:dyDescent="0.35">
      <c r="A23" t="s">
        <v>90</v>
      </c>
      <c r="B23" s="21">
        <v>0</v>
      </c>
      <c r="C23" s="21">
        <v>0</v>
      </c>
      <c r="D23" s="21">
        <v>300</v>
      </c>
    </row>
    <row r="24" spans="1:13" ht="18" x14ac:dyDescent="0.35">
      <c r="A24" t="s">
        <v>13</v>
      </c>
      <c r="B24" s="21">
        <v>200</v>
      </c>
      <c r="C24" s="21">
        <v>400</v>
      </c>
      <c r="D24" s="21">
        <v>400</v>
      </c>
    </row>
    <row r="25" spans="1:13" ht="18.600000000000001" thickBot="1" x14ac:dyDescent="0.4">
      <c r="A25" t="s">
        <v>15</v>
      </c>
      <c r="B25" s="22">
        <v>7800</v>
      </c>
      <c r="C25" s="22">
        <f>650*12</f>
        <v>7800</v>
      </c>
      <c r="D25" s="22">
        <v>7800</v>
      </c>
    </row>
    <row r="26" spans="1:13" ht="18" x14ac:dyDescent="0.35">
      <c r="A26" s="2" t="s">
        <v>14</v>
      </c>
      <c r="B26" s="23">
        <f>SUM(B17:B25)</f>
        <v>216125</v>
      </c>
      <c r="C26" s="23">
        <f>SUM(C17:C25)</f>
        <v>230500</v>
      </c>
      <c r="D26" s="23">
        <f>SUM(D17:D25)</f>
        <v>245800</v>
      </c>
    </row>
    <row r="27" spans="1:13" ht="18" x14ac:dyDescent="0.35">
      <c r="A27" s="2" t="s">
        <v>16</v>
      </c>
      <c r="B27" s="21"/>
      <c r="C27" s="21"/>
      <c r="D27" s="21"/>
    </row>
    <row r="28" spans="1:13" ht="18" x14ac:dyDescent="0.35">
      <c r="A28" t="s">
        <v>20</v>
      </c>
      <c r="B28" s="21">
        <v>14400</v>
      </c>
      <c r="C28" s="21">
        <v>14400</v>
      </c>
      <c r="D28" s="21">
        <f>1200*12</f>
        <v>14400</v>
      </c>
    </row>
    <row r="29" spans="1:13" ht="25.8" x14ac:dyDescent="0.5">
      <c r="A29" t="s">
        <v>17</v>
      </c>
      <c r="B29" s="21">
        <v>3000</v>
      </c>
      <c r="C29" s="21">
        <v>2400</v>
      </c>
      <c r="D29" s="21">
        <v>2400</v>
      </c>
      <c r="H29" s="5">
        <f>D14-D50</f>
        <v>0</v>
      </c>
      <c r="L29" s="31">
        <f>17.6</f>
        <v>17.600000000000001</v>
      </c>
      <c r="M29" s="32">
        <f>SUM(D50*0.0176)/12</f>
        <v>666.30666666666673</v>
      </c>
    </row>
    <row r="30" spans="1:13" ht="25.8" x14ac:dyDescent="0.5">
      <c r="A30" t="s">
        <v>80</v>
      </c>
      <c r="B30" s="21">
        <v>100000</v>
      </c>
      <c r="C30" s="21">
        <v>0</v>
      </c>
      <c r="D30" s="21">
        <v>50000</v>
      </c>
      <c r="L30" s="31"/>
      <c r="M30" s="32"/>
    </row>
    <row r="31" spans="1:13" ht="25.8" x14ac:dyDescent="0.5">
      <c r="A31" t="s">
        <v>18</v>
      </c>
      <c r="B31" s="21">
        <v>6000</v>
      </c>
      <c r="C31" s="21">
        <v>7200</v>
      </c>
      <c r="D31" s="21">
        <v>7200</v>
      </c>
      <c r="L31" s="31">
        <f>82.4</f>
        <v>82.4</v>
      </c>
      <c r="M31" s="32">
        <f>SUM(D50*0.0824)/12</f>
        <v>3119.5266666666666</v>
      </c>
    </row>
    <row r="32" spans="1:13" ht="18" x14ac:dyDescent="0.35">
      <c r="A32" t="s">
        <v>36</v>
      </c>
      <c r="B32" s="21">
        <v>3900</v>
      </c>
      <c r="C32" s="21">
        <v>5000</v>
      </c>
      <c r="D32" s="21">
        <v>3900</v>
      </c>
    </row>
    <row r="33" spans="1:14" ht="18" x14ac:dyDescent="0.35">
      <c r="A33" t="s">
        <v>37</v>
      </c>
      <c r="B33" s="21">
        <v>8000</v>
      </c>
      <c r="C33" s="21">
        <v>78000</v>
      </c>
      <c r="D33" s="21">
        <v>8000</v>
      </c>
      <c r="I33">
        <v>70</v>
      </c>
    </row>
    <row r="34" spans="1:14" ht="18.600000000000001" thickBot="1" x14ac:dyDescent="0.4">
      <c r="A34" t="s">
        <v>19</v>
      </c>
      <c r="B34" s="22">
        <v>500</v>
      </c>
      <c r="C34" s="22">
        <v>500</v>
      </c>
      <c r="D34" s="22">
        <v>500</v>
      </c>
    </row>
    <row r="35" spans="1:14" ht="18" x14ac:dyDescent="0.35">
      <c r="A35" s="2" t="s">
        <v>21</v>
      </c>
      <c r="B35" s="23">
        <f>SUM(B28:B34)</f>
        <v>135800</v>
      </c>
      <c r="C35" s="23">
        <f>SUM(C28:C34)</f>
        <v>107500</v>
      </c>
      <c r="D35" s="23">
        <f>SUM(D28:D34)</f>
        <v>86400</v>
      </c>
    </row>
    <row r="36" spans="1:14" ht="18" x14ac:dyDescent="0.35">
      <c r="A36" s="2" t="s">
        <v>22</v>
      </c>
      <c r="B36" s="21"/>
      <c r="C36" s="21"/>
      <c r="D36" s="21"/>
      <c r="H36">
        <v>60.8</v>
      </c>
      <c r="M36">
        <f>39</f>
        <v>39</v>
      </c>
    </row>
    <row r="37" spans="1:14" ht="18" x14ac:dyDescent="0.35">
      <c r="A37" t="s">
        <v>23</v>
      </c>
      <c r="B37" s="21">
        <v>7500</v>
      </c>
      <c r="C37" s="21">
        <v>10000</v>
      </c>
      <c r="D37" s="21">
        <f>700*12</f>
        <v>8400</v>
      </c>
      <c r="K37">
        <v>1</v>
      </c>
      <c r="L37">
        <v>1</v>
      </c>
      <c r="M37">
        <f>29</f>
        <v>29</v>
      </c>
    </row>
    <row r="38" spans="1:14" ht="18.600000000000001" thickBot="1" x14ac:dyDescent="0.4">
      <c r="A38" t="s">
        <v>24</v>
      </c>
      <c r="B38" s="22">
        <v>500</v>
      </c>
      <c r="C38" s="22">
        <v>500</v>
      </c>
      <c r="D38" s="22">
        <v>1200</v>
      </c>
      <c r="M38">
        <f>SUM(M37/M36)</f>
        <v>0.74358974358974361</v>
      </c>
      <c r="N38">
        <f>SUM(M36/M37)</f>
        <v>1.3448275862068966</v>
      </c>
    </row>
    <row r="39" spans="1:14" ht="18" x14ac:dyDescent="0.35">
      <c r="A39" s="2" t="s">
        <v>25</v>
      </c>
      <c r="B39" s="23">
        <f>SUM(B37:B38)</f>
        <v>8000</v>
      </c>
      <c r="C39" s="23">
        <f>SUM(C37:C38)</f>
        <v>10500</v>
      </c>
      <c r="D39" s="23">
        <f>SUM(D37:D38)</f>
        <v>9600</v>
      </c>
      <c r="N39">
        <f>N38*40</f>
        <v>53.793103448275865</v>
      </c>
    </row>
    <row r="40" spans="1:14" ht="18" x14ac:dyDescent="0.35">
      <c r="A40" s="2" t="s">
        <v>26</v>
      </c>
      <c r="B40" s="21"/>
      <c r="C40" s="21"/>
      <c r="D40" s="21"/>
      <c r="N40">
        <f>100-N39</f>
        <v>46.206896551724135</v>
      </c>
    </row>
    <row r="41" spans="1:14" ht="18" x14ac:dyDescent="0.35">
      <c r="A41" t="s">
        <v>34</v>
      </c>
      <c r="B41" s="21">
        <v>6400</v>
      </c>
      <c r="C41" s="21">
        <v>14000</v>
      </c>
      <c r="D41" s="21">
        <f>450*12</f>
        <v>5400</v>
      </c>
    </row>
    <row r="42" spans="1:14" ht="18.600000000000001" thickBot="1" x14ac:dyDescent="0.4">
      <c r="A42" t="s">
        <v>27</v>
      </c>
      <c r="B42" s="22">
        <v>3200</v>
      </c>
      <c r="C42" s="22">
        <v>2000</v>
      </c>
      <c r="D42" s="22">
        <v>2000</v>
      </c>
      <c r="H42">
        <f>320*40*12</f>
        <v>153600</v>
      </c>
    </row>
    <row r="43" spans="1:14" ht="18" x14ac:dyDescent="0.35">
      <c r="A43" s="2" t="s">
        <v>28</v>
      </c>
      <c r="B43" s="23">
        <f>SUM(B41:B42)</f>
        <v>9600</v>
      </c>
      <c r="C43" s="23">
        <f>SUM(C41:C42)</f>
        <v>16000</v>
      </c>
      <c r="D43" s="23">
        <f>SUM(D41:D42)</f>
        <v>7400</v>
      </c>
      <c r="H43" s="35">
        <f>D54*16*12</f>
        <v>112512</v>
      </c>
      <c r="J43">
        <f>16/40</f>
        <v>0.4</v>
      </c>
    </row>
    <row r="44" spans="1:14" ht="18" x14ac:dyDescent="0.35">
      <c r="A44" s="2" t="s">
        <v>29</v>
      </c>
      <c r="B44" s="21"/>
      <c r="C44" s="21"/>
      <c r="D44" s="21"/>
      <c r="H44">
        <f>SUM(H42:H43)</f>
        <v>266112</v>
      </c>
    </row>
    <row r="45" spans="1:14" ht="18" x14ac:dyDescent="0.35">
      <c r="A45" t="s">
        <v>30</v>
      </c>
      <c r="B45" s="21">
        <v>60000</v>
      </c>
      <c r="C45" s="21">
        <v>52000</v>
      </c>
      <c r="D45" s="21">
        <v>55000</v>
      </c>
      <c r="L45" s="4">
        <f>D53*40*12</f>
        <v>216480</v>
      </c>
    </row>
    <row r="46" spans="1:14" ht="18" x14ac:dyDescent="0.35">
      <c r="A46" t="s">
        <v>31</v>
      </c>
      <c r="B46" s="21">
        <v>37000</v>
      </c>
      <c r="C46" s="21">
        <v>42000</v>
      </c>
      <c r="D46" s="21">
        <v>42000</v>
      </c>
      <c r="L46" s="4">
        <f>D54*16*12</f>
        <v>112512</v>
      </c>
    </row>
    <row r="47" spans="1:14" ht="18.600000000000001" thickBot="1" x14ac:dyDescent="0.4">
      <c r="A47" t="s">
        <v>32</v>
      </c>
      <c r="B47" s="22">
        <v>7000</v>
      </c>
      <c r="C47" s="22">
        <v>8100</v>
      </c>
      <c r="D47" s="22">
        <v>8100</v>
      </c>
      <c r="H47" s="5">
        <f>D8*C58/40/12</f>
        <v>475.23641599999996</v>
      </c>
      <c r="L47" s="4">
        <f>L45+L46</f>
        <v>328992</v>
      </c>
    </row>
    <row r="48" spans="1:14" ht="18.600000000000001" thickBot="1" x14ac:dyDescent="0.4">
      <c r="A48" t="s">
        <v>77</v>
      </c>
      <c r="B48" s="21">
        <v>0</v>
      </c>
      <c r="C48" s="21">
        <v>10000</v>
      </c>
      <c r="D48" s="21"/>
    </row>
    <row r="49" spans="1:15" ht="18.600000000000001" thickBot="1" x14ac:dyDescent="0.4">
      <c r="A49" s="2" t="s">
        <v>35</v>
      </c>
      <c r="B49" s="24">
        <f>SUM(B45:B48)</f>
        <v>104000</v>
      </c>
      <c r="C49" s="24">
        <f>SUM(C45:C48)</f>
        <v>112100</v>
      </c>
      <c r="D49" s="24">
        <f>SUM(D45:D47)</f>
        <v>105100</v>
      </c>
      <c r="O49" s="35">
        <f>D53*40*12</f>
        <v>216480</v>
      </c>
    </row>
    <row r="50" spans="1:15" ht="18.600000000000001" thickTop="1" x14ac:dyDescent="0.35">
      <c r="A50" t="s">
        <v>38</v>
      </c>
      <c r="B50" s="23">
        <f>SUM(B49+B43+B39+B35+B26)-B30</f>
        <v>373525</v>
      </c>
      <c r="C50" s="23">
        <f>SUM(C49+C43+C39+C35+C26)</f>
        <v>476600</v>
      </c>
      <c r="D50" s="23">
        <f>SUM(D49+D43+D39+D35+D26+D21)-18500</f>
        <v>454300</v>
      </c>
      <c r="G50" s="5">
        <f>D50/56/12</f>
        <v>676.04166666666663</v>
      </c>
      <c r="M50">
        <f>M51*40</f>
        <v>0.694272</v>
      </c>
      <c r="O50" s="35">
        <f>D54*16*12</f>
        <v>112512</v>
      </c>
    </row>
    <row r="51" spans="1:15" x14ac:dyDescent="0.3">
      <c r="B51" s="3"/>
      <c r="C51" s="3"/>
      <c r="D51" s="3"/>
      <c r="M51">
        <v>1.7356799999999999E-2</v>
      </c>
      <c r="O51" s="35">
        <f>O49+O50</f>
        <v>328992</v>
      </c>
    </row>
    <row r="52" spans="1:15" ht="18" x14ac:dyDescent="0.3">
      <c r="A52" s="59" t="s">
        <v>59</v>
      </c>
      <c r="B52" s="59"/>
      <c r="C52" s="59"/>
      <c r="D52" s="59"/>
      <c r="H52">
        <v>1</v>
      </c>
      <c r="I52">
        <v>0.74868000000000001</v>
      </c>
      <c r="J52">
        <f>I52/56</f>
        <v>1.3369285714285714E-2</v>
      </c>
      <c r="K52" s="5">
        <f>SUM(D50*M50)/40/12</f>
        <v>657.09951999999998</v>
      </c>
      <c r="L52" s="5">
        <f>K52*40*12</f>
        <v>315407.7696</v>
      </c>
    </row>
    <row r="53" spans="1:15" ht="27.75" customHeight="1" x14ac:dyDescent="0.3">
      <c r="A53" s="59" t="s">
        <v>62</v>
      </c>
      <c r="B53" s="59"/>
      <c r="C53" s="59" t="s">
        <v>74</v>
      </c>
      <c r="D53" s="34">
        <v>451</v>
      </c>
      <c r="E53">
        <v>450</v>
      </c>
      <c r="G53" s="5">
        <f>(D50*0.0517931)/12</f>
        <v>1960.8004441666669</v>
      </c>
      <c r="H53">
        <v>2</v>
      </c>
      <c r="I53">
        <v>0.25131999999999999</v>
      </c>
      <c r="J53">
        <f>I53/16</f>
        <v>1.5707499999999999E-2</v>
      </c>
      <c r="K53" s="5">
        <f>SUM(D50*J54)/16/12</f>
        <v>723.3970333333333</v>
      </c>
      <c r="L53" s="5">
        <f>K53*12*16</f>
        <v>138892.2304</v>
      </c>
    </row>
    <row r="54" spans="1:15" ht="25.5" customHeight="1" x14ac:dyDescent="0.3">
      <c r="A54" s="59" t="s">
        <v>63</v>
      </c>
      <c r="B54" s="59"/>
      <c r="C54" s="59"/>
      <c r="D54" s="34">
        <v>586</v>
      </c>
      <c r="E54">
        <v>585</v>
      </c>
      <c r="G54" s="5">
        <f>SUM(D50*0.462069)/16/12</f>
        <v>1093.3226390625</v>
      </c>
      <c r="J54">
        <v>0.305728</v>
      </c>
      <c r="N54" s="27">
        <v>6.9427199999999994E-2</v>
      </c>
    </row>
    <row r="55" spans="1:15" x14ac:dyDescent="0.3">
      <c r="N55" s="27">
        <v>3.0572800000000001E-2</v>
      </c>
    </row>
    <row r="56" spans="1:15" x14ac:dyDescent="0.3">
      <c r="A56" s="68">
        <v>100000</v>
      </c>
      <c r="B56" s="66" t="s">
        <v>83</v>
      </c>
      <c r="C56" s="36" t="s">
        <v>67</v>
      </c>
      <c r="D56" s="64" t="s">
        <v>81</v>
      </c>
      <c r="E56" s="66" t="s">
        <v>82</v>
      </c>
      <c r="I56" s="5">
        <f>D8*N54/12/40</f>
        <v>47.523641599999998</v>
      </c>
    </row>
    <row r="57" spans="1:15" x14ac:dyDescent="0.3">
      <c r="A57" s="69"/>
      <c r="B57" s="67"/>
      <c r="C57" s="36" t="s">
        <v>72</v>
      </c>
      <c r="D57" s="65"/>
      <c r="E57" s="67"/>
      <c r="F57" s="35"/>
      <c r="I57" s="5">
        <f>D8*N55/12/16</f>
        <v>52.318500166666666</v>
      </c>
    </row>
    <row r="58" spans="1:15" x14ac:dyDescent="0.3">
      <c r="A58" s="36" t="s">
        <v>71</v>
      </c>
      <c r="B58" s="37">
        <v>1735.6799999999998</v>
      </c>
      <c r="C58" s="36">
        <v>0.694272</v>
      </c>
      <c r="D58" s="37">
        <v>1735.68</v>
      </c>
      <c r="E58" s="37">
        <v>289.27999999999997</v>
      </c>
      <c r="F58" s="35"/>
    </row>
    <row r="59" spans="1:15" x14ac:dyDescent="0.3">
      <c r="A59" s="36" t="s">
        <v>70</v>
      </c>
      <c r="B59" s="37">
        <v>1910.8</v>
      </c>
      <c r="C59" s="36">
        <v>0.305728</v>
      </c>
      <c r="D59" s="37">
        <v>1910.8</v>
      </c>
      <c r="E59" s="37">
        <v>318.46666666666664</v>
      </c>
      <c r="F59" s="35"/>
    </row>
    <row r="60" spans="1:15" x14ac:dyDescent="0.3">
      <c r="H60">
        <f>E53*40</f>
        <v>18000</v>
      </c>
      <c r="J60" s="4">
        <f>A56*C58/40</f>
        <v>1735.6799999999998</v>
      </c>
    </row>
    <row r="61" spans="1:15" x14ac:dyDescent="0.3">
      <c r="H61">
        <f>E54*16</f>
        <v>9360</v>
      </c>
      <c r="J61" s="4">
        <f>A56*C59/16</f>
        <v>1910.8</v>
      </c>
    </row>
    <row r="62" spans="1:15" x14ac:dyDescent="0.3">
      <c r="H62">
        <f>H60+H61</f>
        <v>27360</v>
      </c>
    </row>
    <row r="63" spans="1:15" x14ac:dyDescent="0.3">
      <c r="H63">
        <f>H62*12</f>
        <v>328320</v>
      </c>
    </row>
  </sheetData>
  <mergeCells count="14">
    <mergeCell ref="E56:E57"/>
    <mergeCell ref="A52:D52"/>
    <mergeCell ref="A53:B53"/>
    <mergeCell ref="C53:C54"/>
    <mergeCell ref="A54:B54"/>
    <mergeCell ref="A56:A57"/>
    <mergeCell ref="B56:B57"/>
    <mergeCell ref="D56:D57"/>
    <mergeCell ref="A1:D1"/>
    <mergeCell ref="A2:D2"/>
    <mergeCell ref="A3:D3"/>
    <mergeCell ref="B5:B6"/>
    <mergeCell ref="C5:C6"/>
    <mergeCell ref="D5:D6"/>
  </mergeCells>
  <pageMargins left="0.7" right="0.7" top="0.75" bottom="0.75" header="0.3" footer="0.3"/>
  <pageSetup scale="6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247AE-6F23-4742-BF78-16E2E4CE7BFE}">
  <sheetPr>
    <tabColor rgb="FFFFFF00"/>
  </sheetPr>
  <dimension ref="A1:M25"/>
  <sheetViews>
    <sheetView zoomScale="82" zoomScaleNormal="82" workbookViewId="0">
      <selection activeCell="A16" sqref="A16:D16"/>
    </sheetView>
  </sheetViews>
  <sheetFormatPr defaultColWidth="8.88671875" defaultRowHeight="14.4" x14ac:dyDescent="0.3"/>
  <cols>
    <col min="1" max="1" width="19.5546875" bestFit="1" customWidth="1"/>
    <col min="2" max="2" width="15" customWidth="1"/>
    <col min="3" max="3" width="17.5546875" bestFit="1" customWidth="1"/>
    <col min="4" max="4" width="15.44140625" bestFit="1" customWidth="1"/>
    <col min="5" max="5" width="16.44140625" bestFit="1" customWidth="1"/>
    <col min="6" max="6" width="12.5546875" bestFit="1" customWidth="1"/>
    <col min="7" max="7" width="17.5546875" bestFit="1" customWidth="1"/>
    <col min="8" max="8" width="19" bestFit="1" customWidth="1"/>
    <col min="9" max="9" width="22.44140625" customWidth="1"/>
    <col min="10" max="10" width="25.44140625" customWidth="1"/>
    <col min="11" max="11" width="10.5546875" bestFit="1" customWidth="1"/>
  </cols>
  <sheetData>
    <row r="1" spans="1:13" ht="30" customHeight="1" x14ac:dyDescent="0.35">
      <c r="A1" s="56" t="s">
        <v>89</v>
      </c>
      <c r="B1" s="56"/>
      <c r="C1" s="56"/>
      <c r="D1" s="56"/>
      <c r="E1" s="56"/>
      <c r="F1" s="56"/>
      <c r="G1" s="56"/>
      <c r="H1" s="56"/>
      <c r="I1" s="6"/>
    </row>
    <row r="2" spans="1:13" ht="30" customHeight="1" x14ac:dyDescent="0.35">
      <c r="A2" s="25" t="s">
        <v>39</v>
      </c>
      <c r="B2" s="25" t="s">
        <v>40</v>
      </c>
      <c r="C2" s="25" t="s">
        <v>40</v>
      </c>
      <c r="D2" s="25" t="s">
        <v>41</v>
      </c>
      <c r="E2" s="25" t="s">
        <v>42</v>
      </c>
      <c r="F2" s="25" t="s">
        <v>43</v>
      </c>
      <c r="G2" s="25" t="s">
        <v>44</v>
      </c>
      <c r="H2" s="25" t="s">
        <v>45</v>
      </c>
      <c r="I2" s="7"/>
    </row>
    <row r="3" spans="1:13" ht="30" customHeight="1" x14ac:dyDescent="0.35">
      <c r="A3" s="25"/>
      <c r="B3" s="25" t="s">
        <v>46</v>
      </c>
      <c r="C3" s="25" t="s">
        <v>47</v>
      </c>
      <c r="D3" s="25" t="s">
        <v>48</v>
      </c>
      <c r="E3" s="25" t="s">
        <v>49</v>
      </c>
      <c r="F3" s="25" t="s">
        <v>50</v>
      </c>
      <c r="G3" s="25" t="s">
        <v>45</v>
      </c>
      <c r="H3" s="25" t="s">
        <v>88</v>
      </c>
      <c r="I3" s="25" t="s">
        <v>88</v>
      </c>
    </row>
    <row r="4" spans="1:13" ht="35.25" customHeight="1" x14ac:dyDescent="0.35">
      <c r="A4" s="25"/>
      <c r="B4" s="25"/>
      <c r="C4" s="25"/>
      <c r="D4" s="25" t="s">
        <v>51</v>
      </c>
      <c r="E4" s="8">
        <v>45657</v>
      </c>
      <c r="F4" s="9" t="s">
        <v>52</v>
      </c>
      <c r="G4" s="25" t="s">
        <v>53</v>
      </c>
      <c r="H4" s="25" t="s">
        <v>54</v>
      </c>
      <c r="I4" s="9" t="s">
        <v>75</v>
      </c>
    </row>
    <row r="5" spans="1:13" ht="30" customHeight="1" x14ac:dyDescent="0.35">
      <c r="A5" s="7" t="s">
        <v>55</v>
      </c>
      <c r="B5" s="38">
        <v>7</v>
      </c>
      <c r="C5" s="10">
        <v>60000</v>
      </c>
      <c r="D5" s="11">
        <v>0.15</v>
      </c>
      <c r="E5" s="12">
        <f>SUM(E11*D5)</f>
        <v>1500</v>
      </c>
      <c r="F5" s="13">
        <v>7</v>
      </c>
      <c r="G5" s="12">
        <f>C5-E5</f>
        <v>58500</v>
      </c>
      <c r="H5" s="12">
        <f>G5/F5</f>
        <v>8357.1428571428569</v>
      </c>
      <c r="I5" s="12">
        <f t="shared" ref="I5:I10" si="0">SUM(H5*0.16)</f>
        <v>1337.1428571428571</v>
      </c>
    </row>
    <row r="6" spans="1:13" ht="30" customHeight="1" x14ac:dyDescent="0.35">
      <c r="A6" s="7" t="s">
        <v>73</v>
      </c>
      <c r="B6" s="38">
        <v>9</v>
      </c>
      <c r="C6" s="10">
        <v>60000</v>
      </c>
      <c r="D6" s="11">
        <v>0.1</v>
      </c>
      <c r="E6" s="12">
        <v>0</v>
      </c>
      <c r="F6" s="13">
        <v>9</v>
      </c>
      <c r="G6" s="12">
        <v>60000</v>
      </c>
      <c r="H6" s="12">
        <f>SUM(G6/F6)</f>
        <v>6666.666666666667</v>
      </c>
      <c r="I6" s="12">
        <f t="shared" si="0"/>
        <v>1066.6666666666667</v>
      </c>
    </row>
    <row r="7" spans="1:13" ht="30" customHeight="1" x14ac:dyDescent="0.35">
      <c r="A7" s="7" t="s">
        <v>56</v>
      </c>
      <c r="B7" s="38">
        <v>19</v>
      </c>
      <c r="C7" s="10">
        <v>600000</v>
      </c>
      <c r="D7" s="11">
        <v>0.4</v>
      </c>
      <c r="E7" s="12">
        <f>SUM(E11*D7)</f>
        <v>4000</v>
      </c>
      <c r="F7" s="13">
        <v>5</v>
      </c>
      <c r="G7" s="12">
        <f t="shared" ref="G7:G9" si="1">C7-E7</f>
        <v>596000</v>
      </c>
      <c r="H7" s="12">
        <f>SUM(G7/F7)</f>
        <v>119200</v>
      </c>
      <c r="I7" s="12">
        <f t="shared" si="0"/>
        <v>19072</v>
      </c>
    </row>
    <row r="8" spans="1:13" ht="30" customHeight="1" x14ac:dyDescent="0.35">
      <c r="A8" s="7" t="s">
        <v>57</v>
      </c>
      <c r="B8" s="38">
        <v>14</v>
      </c>
      <c r="C8" s="10">
        <v>30000</v>
      </c>
      <c r="D8" s="11">
        <v>0.15</v>
      </c>
      <c r="E8" s="12">
        <f>SUM(E11*D8)</f>
        <v>1500</v>
      </c>
      <c r="F8" s="13">
        <v>1</v>
      </c>
      <c r="G8" s="12">
        <f t="shared" si="1"/>
        <v>28500</v>
      </c>
      <c r="H8" s="12">
        <f>SUM(G8/F8)</f>
        <v>28500</v>
      </c>
      <c r="I8" s="12">
        <f t="shared" si="0"/>
        <v>4560</v>
      </c>
      <c r="J8" s="4"/>
      <c r="K8" s="4">
        <f>H11*0.16</f>
        <v>26035.809523809527</v>
      </c>
    </row>
    <row r="9" spans="1:13" ht="30" customHeight="1" x14ac:dyDescent="0.35">
      <c r="A9" s="7" t="s">
        <v>65</v>
      </c>
      <c r="B9" s="38">
        <v>9</v>
      </c>
      <c r="C9" s="10">
        <v>30000</v>
      </c>
      <c r="D9" s="11">
        <v>0.15</v>
      </c>
      <c r="E9" s="12">
        <f>SUM(E11*D9)</f>
        <v>1500</v>
      </c>
      <c r="F9" s="13">
        <v>1</v>
      </c>
      <c r="G9" s="12">
        <f t="shared" si="1"/>
        <v>28500</v>
      </c>
      <c r="H9" s="12">
        <f>SUM(G9/F9)</f>
        <v>28500</v>
      </c>
      <c r="I9" s="12">
        <f t="shared" si="0"/>
        <v>4560</v>
      </c>
      <c r="J9" s="4"/>
    </row>
    <row r="10" spans="1:13" ht="30" customHeight="1" x14ac:dyDescent="0.35">
      <c r="A10" s="7" t="s">
        <v>33</v>
      </c>
      <c r="B10" s="38">
        <v>7</v>
      </c>
      <c r="C10" s="10">
        <v>22000</v>
      </c>
      <c r="D10" s="11">
        <v>0.05</v>
      </c>
      <c r="E10" s="12">
        <f>SUM(E11*D10)</f>
        <v>500</v>
      </c>
      <c r="F10" s="13">
        <v>7</v>
      </c>
      <c r="G10" s="12">
        <f>C10-E10</f>
        <v>21500</v>
      </c>
      <c r="H10" s="12">
        <f>SUM(G10/F10)</f>
        <v>3071.4285714285716</v>
      </c>
      <c r="I10" s="12">
        <f t="shared" si="0"/>
        <v>491.42857142857144</v>
      </c>
    </row>
    <row r="11" spans="1:13" ht="30" customHeight="1" x14ac:dyDescent="0.35">
      <c r="A11" s="7" t="s">
        <v>58</v>
      </c>
      <c r="B11" s="25"/>
      <c r="C11" s="14">
        <f>SUM(C5:C8)</f>
        <v>750000</v>
      </c>
      <c r="D11" s="15">
        <f>SUM(D5:D10)</f>
        <v>1</v>
      </c>
      <c r="E11" s="16">
        <v>10000</v>
      </c>
      <c r="F11" s="25"/>
      <c r="G11" s="16">
        <f>C11-E11</f>
        <v>740000</v>
      </c>
      <c r="H11" s="16">
        <f>SUM(H5:H8)</f>
        <v>162723.80952380953</v>
      </c>
      <c r="I11" s="16">
        <f>SUM(I5:I8)</f>
        <v>26035.809523809523</v>
      </c>
    </row>
    <row r="12" spans="1:13" ht="30" customHeight="1" x14ac:dyDescent="0.35">
      <c r="A12" s="6"/>
      <c r="B12" s="6"/>
      <c r="C12" s="6"/>
      <c r="D12" s="6"/>
      <c r="E12" s="6"/>
      <c r="F12" s="6"/>
      <c r="G12" s="6"/>
      <c r="H12" s="6"/>
      <c r="I12" s="6"/>
    </row>
    <row r="13" spans="1:13" ht="34.5" customHeight="1" x14ac:dyDescent="0.3">
      <c r="A13" s="59" t="s">
        <v>59</v>
      </c>
      <c r="B13" s="59"/>
      <c r="C13" s="28" t="s">
        <v>68</v>
      </c>
      <c r="D13" s="28" t="s">
        <v>69</v>
      </c>
      <c r="E13" s="59" t="s">
        <v>60</v>
      </c>
      <c r="F13" s="59"/>
      <c r="G13" s="57" t="s">
        <v>76</v>
      </c>
      <c r="H13" s="58"/>
      <c r="I13" s="29" t="s">
        <v>64</v>
      </c>
      <c r="J13" s="4"/>
    </row>
    <row r="14" spans="1:13" ht="30" customHeight="1" x14ac:dyDescent="0.35">
      <c r="A14" s="50" t="s">
        <v>62</v>
      </c>
      <c r="B14" s="50"/>
      <c r="C14" s="61" t="s">
        <v>74</v>
      </c>
      <c r="D14" s="33">
        <v>451</v>
      </c>
      <c r="E14" s="60">
        <f>H11*M14/40/12</f>
        <v>235.36371809523811</v>
      </c>
      <c r="F14" s="60"/>
      <c r="G14" s="60">
        <f>SUM(I11*M14)/40/12</f>
        <v>37.658194895238097</v>
      </c>
      <c r="H14" s="60"/>
      <c r="I14" s="17">
        <f>SUM(D14+G14)</f>
        <v>488.65819489523813</v>
      </c>
      <c r="J14" s="5"/>
      <c r="K14">
        <f>20*40*12</f>
        <v>9600</v>
      </c>
      <c r="M14">
        <v>0.694272</v>
      </c>
    </row>
    <row r="15" spans="1:13" ht="30" customHeight="1" x14ac:dyDescent="0.35">
      <c r="A15" s="50" t="s">
        <v>63</v>
      </c>
      <c r="B15" s="50"/>
      <c r="C15" s="63"/>
      <c r="D15" s="33">
        <v>586</v>
      </c>
      <c r="E15" s="51">
        <f>SUM(H11*M15)/12/16</f>
        <v>259.11054603174603</v>
      </c>
      <c r="F15" s="52"/>
      <c r="G15" s="51">
        <f>SUM(I11*M15)/12/16</f>
        <v>41.457687365079366</v>
      </c>
      <c r="H15" s="52"/>
      <c r="I15" s="26">
        <f>SUM(D15+G15)</f>
        <v>627.45768736507932</v>
      </c>
      <c r="K15">
        <f>16*30*12</f>
        <v>5760</v>
      </c>
      <c r="M15">
        <v>0.305728</v>
      </c>
    </row>
    <row r="16" spans="1:13" ht="33.75" customHeight="1" x14ac:dyDescent="0.35">
      <c r="A16" s="53" t="s">
        <v>61</v>
      </c>
      <c r="B16" s="54"/>
      <c r="C16" s="54"/>
      <c r="D16" s="62"/>
      <c r="E16" s="55"/>
      <c r="F16" s="55"/>
      <c r="G16" s="55"/>
      <c r="H16" s="55"/>
      <c r="I16" s="18"/>
      <c r="K16">
        <f>K14+K15</f>
        <v>15360</v>
      </c>
    </row>
    <row r="17" spans="1:10" ht="18.600000000000001" thickBot="1" x14ac:dyDescent="0.4">
      <c r="A17" s="6"/>
      <c r="B17" s="6"/>
      <c r="C17" s="6"/>
      <c r="D17" s="6"/>
      <c r="E17" s="6"/>
      <c r="F17" s="6"/>
      <c r="G17" s="6"/>
      <c r="H17" s="6"/>
      <c r="I17" s="6"/>
    </row>
    <row r="18" spans="1:10" ht="15" customHeight="1" x14ac:dyDescent="0.3">
      <c r="A18" s="41" t="s">
        <v>66</v>
      </c>
      <c r="B18" s="42"/>
      <c r="C18" s="42"/>
      <c r="D18" s="42"/>
      <c r="E18" s="42"/>
      <c r="F18" s="42"/>
      <c r="G18" s="42"/>
      <c r="H18" s="42"/>
      <c r="I18" s="43"/>
      <c r="J18" s="19"/>
    </row>
    <row r="19" spans="1:10" x14ac:dyDescent="0.3">
      <c r="A19" s="44"/>
      <c r="B19" s="45"/>
      <c r="C19" s="45"/>
      <c r="D19" s="45"/>
      <c r="E19" s="45"/>
      <c r="F19" s="45"/>
      <c r="G19" s="45"/>
      <c r="H19" s="45"/>
      <c r="I19" s="46"/>
      <c r="J19" s="19"/>
    </row>
    <row r="20" spans="1:10" x14ac:dyDescent="0.3">
      <c r="A20" s="44"/>
      <c r="B20" s="45"/>
      <c r="C20" s="45"/>
      <c r="D20" s="45"/>
      <c r="E20" s="45"/>
      <c r="F20" s="45"/>
      <c r="G20" s="45"/>
      <c r="H20" s="45"/>
      <c r="I20" s="46"/>
    </row>
    <row r="21" spans="1:10" x14ac:dyDescent="0.3">
      <c r="A21" s="44"/>
      <c r="B21" s="45"/>
      <c r="C21" s="45"/>
      <c r="D21" s="45"/>
      <c r="E21" s="45"/>
      <c r="F21" s="45"/>
      <c r="G21" s="45"/>
      <c r="H21" s="45"/>
      <c r="I21" s="46"/>
    </row>
    <row r="22" spans="1:10" ht="15" thickBot="1" x14ac:dyDescent="0.35">
      <c r="A22" s="47"/>
      <c r="B22" s="48"/>
      <c r="C22" s="48"/>
      <c r="D22" s="48"/>
      <c r="E22" s="48"/>
      <c r="F22" s="48"/>
      <c r="G22" s="48"/>
      <c r="H22" s="48"/>
      <c r="I22" s="49"/>
    </row>
    <row r="23" spans="1:10" ht="23.4" x14ac:dyDescent="0.3">
      <c r="A23" s="30"/>
      <c r="B23" s="30"/>
      <c r="C23" s="30"/>
      <c r="D23" s="30"/>
      <c r="E23" s="30"/>
      <c r="F23" s="30"/>
      <c r="G23" s="30"/>
      <c r="H23" s="30"/>
      <c r="I23" s="30"/>
    </row>
    <row r="24" spans="1:10" x14ac:dyDescent="0.3">
      <c r="E24">
        <v>320</v>
      </c>
      <c r="F24">
        <v>350</v>
      </c>
    </row>
    <row r="25" spans="1:10" x14ac:dyDescent="0.3">
      <c r="E25">
        <v>370</v>
      </c>
      <c r="F25">
        <v>410</v>
      </c>
    </row>
  </sheetData>
  <mergeCells count="15">
    <mergeCell ref="A16:D16"/>
    <mergeCell ref="E16:F16"/>
    <mergeCell ref="G16:H16"/>
    <mergeCell ref="A18:I22"/>
    <mergeCell ref="A1:H1"/>
    <mergeCell ref="A13:B13"/>
    <mergeCell ref="E13:F13"/>
    <mergeCell ref="G13:H13"/>
    <mergeCell ref="A14:B14"/>
    <mergeCell ref="C14:C15"/>
    <mergeCell ref="E14:F14"/>
    <mergeCell ref="G14:H14"/>
    <mergeCell ref="A15:B15"/>
    <mergeCell ref="E15:F15"/>
    <mergeCell ref="G15:H15"/>
  </mergeCells>
  <pageMargins left="0.25" right="0.25" top="0.75" bottom="0.75" header="0.3" footer="0.3"/>
  <pageSetup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2025</vt:lpstr>
      <vt:lpstr>reserves 2025</vt:lpstr>
      <vt:lpstr>'budget 2025'!Print_Area</vt:lpstr>
      <vt:lpstr>'reserves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</dc:creator>
  <cp:lastModifiedBy>jamie blum</cp:lastModifiedBy>
  <cp:lastPrinted>2024-11-07T21:35:28Z</cp:lastPrinted>
  <dcterms:created xsi:type="dcterms:W3CDTF">2017-07-20T12:38:37Z</dcterms:created>
  <dcterms:modified xsi:type="dcterms:W3CDTF">2025-03-02T20:09:10Z</dcterms:modified>
</cp:coreProperties>
</file>