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704F0488-55EA-4B4A-BC9E-5F12AC569694}" xr6:coauthVersionLast="47" xr6:coauthVersionMax="47" xr10:uidLastSave="{00000000-0000-0000-0000-000000000000}"/>
  <bookViews>
    <workbookView xWindow="-108" yWindow="-108" windowWidth="23256" windowHeight="13896" xr2:uid="{565CA653-0392-4068-880B-6862610FFE68}"/>
  </bookViews>
  <sheets>
    <sheet name="2025" sheetId="7" r:id="rId1"/>
    <sheet name="Reserves 2025" sheetId="8" r:id="rId2"/>
  </sheets>
  <definedNames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'2025'!$A$1:$AK$59</definedName>
    <definedName name="_xlnm.Print_Titles" localSheetId="0">'2025'!$A:$F,'2025'!$2:$3</definedName>
    <definedName name="QB_COLUMN_76200" localSheetId="0" hidden="1">'2025'!$AH$3</definedName>
    <definedName name="QB_DATA_0" localSheetId="0" hidden="1">'2025'!$6:$6,'2025'!$8:$8,'2025'!$9:$9,'2025'!$10:$10,'2025'!$12:$12,'2025'!$16:$16,'2025'!$18:$18,'2025'!$19:$19,'2025'!$23:$23,'2025'!$24:$24,'2025'!$27:$27,'2025'!$28:$28,'2025'!$29:$29,'2025'!$35:$35,'2025'!$36:$36,'2025'!$37:$37</definedName>
    <definedName name="QB_DATA_1" localSheetId="0" hidden="1">'2025'!$40:$40,'2025'!$42:$42,'2025'!$43:$43,'2025'!#REF!,'2025'!$46:$46,'2025'!$48:$48,'2025'!#REF!,'2025'!$50:$50</definedName>
    <definedName name="QB_FORMULA_0" localSheetId="0" hidden="1">'2025'!$AH$13,'2025'!#REF!,'2025'!$AH$25,'2025'!$AH$38,'2025'!$AH$44,'2025'!$AH$51,'2025'!$AH$52,'2025'!#REF!,'2025'!#REF!</definedName>
    <definedName name="QB_ROW_11250" localSheetId="0" hidden="1">'2025'!$F$16</definedName>
    <definedName name="QB_ROW_12250" localSheetId="0" hidden="1">'2025'!$F$18</definedName>
    <definedName name="QB_ROW_13250" localSheetId="0" hidden="1">'2025'!$F$19</definedName>
    <definedName name="QB_ROW_14250" localSheetId="0" hidden="1">'2025'!$F$23</definedName>
    <definedName name="QB_ROW_15250" localSheetId="0" hidden="1">'2025'!$F$24</definedName>
    <definedName name="QB_ROW_16040" localSheetId="0" hidden="1">'2025'!$E$15</definedName>
    <definedName name="QB_ROW_16340" localSheetId="0" hidden="1">'2025'!$E$25</definedName>
    <definedName name="QB_ROW_17040" localSheetId="0" hidden="1">'2025'!$E$26</definedName>
    <definedName name="QB_ROW_17340" localSheetId="0" hidden="1">'2025'!$E$38</definedName>
    <definedName name="QB_ROW_18250" localSheetId="0" hidden="1">'2025'!$F$28</definedName>
    <definedName name="QB_ROW_18301" localSheetId="0" hidden="1">'2025'!#REF!</definedName>
    <definedName name="QB_ROW_19011" localSheetId="0" hidden="1">'2025'!$B$4</definedName>
    <definedName name="QB_ROW_19250" localSheetId="0" hidden="1">'2025'!$F$29</definedName>
    <definedName name="QB_ROW_19311" localSheetId="0" hidden="1">'2025'!#REF!</definedName>
    <definedName name="QB_ROW_20031" localSheetId="0" hidden="1">'2025'!$D$5</definedName>
    <definedName name="QB_ROW_20250" localSheetId="0" hidden="1">'2025'!$F$35</definedName>
    <definedName name="QB_ROW_20331" localSheetId="0" hidden="1">'2025'!$D$13</definedName>
    <definedName name="QB_ROW_21031" localSheetId="0" hidden="1">'2025'!$D$14</definedName>
    <definedName name="QB_ROW_21250" localSheetId="0" hidden="1">'2025'!$F$36</definedName>
    <definedName name="QB_ROW_21331" localSheetId="0" hidden="1">'2025'!$D$52</definedName>
    <definedName name="QB_ROW_22250" localSheetId="0" hidden="1">'2025'!$F$37</definedName>
    <definedName name="QB_ROW_23040" localSheetId="0" hidden="1">'2025'!$E$39</definedName>
    <definedName name="QB_ROW_23340" localSheetId="0" hidden="1">'2025'!$E$44</definedName>
    <definedName name="QB_ROW_24250" localSheetId="0" hidden="1">'2025'!$F$40</definedName>
    <definedName name="QB_ROW_25250" localSheetId="0" hidden="1">'2025'!$F$42</definedName>
    <definedName name="QB_ROW_26250" localSheetId="0" hidden="1">'2025'!$F$43</definedName>
    <definedName name="QB_ROW_27250" localSheetId="0" hidden="1">'2025'!#REF!</definedName>
    <definedName name="QB_ROW_28040" localSheetId="0" hidden="1">'2025'!$E$45</definedName>
    <definedName name="QB_ROW_28340" localSheetId="0" hidden="1">'2025'!$E$51</definedName>
    <definedName name="QB_ROW_29250" localSheetId="0" hidden="1">'2025'!$F$46</definedName>
    <definedName name="QB_ROW_30250" localSheetId="0" hidden="1">'2025'!$F$48</definedName>
    <definedName name="QB_ROW_31250" localSheetId="0" hidden="1">'2025'!#REF!</definedName>
    <definedName name="QB_ROW_32250" localSheetId="0" hidden="1">'2025'!$F$50</definedName>
    <definedName name="QB_ROW_46250" localSheetId="0" hidden="1">'2025'!$F$27</definedName>
    <definedName name="QB_ROW_47240" localSheetId="0" hidden="1">'2025'!$E$12</definedName>
    <definedName name="QB_ROW_5240" localSheetId="0" hidden="1">'2025'!$E$6</definedName>
    <definedName name="QB_ROW_7240" localSheetId="0" hidden="1">'2025'!$E$8</definedName>
    <definedName name="QB_ROW_8240" localSheetId="0" hidden="1">'2025'!$E$9</definedName>
    <definedName name="QB_ROW_86321" localSheetId="0" hidden="1">'2025'!#REF!</definedName>
    <definedName name="QB_ROW_9240" localSheetId="0" hidden="1">'2025'!$E$10</definedName>
    <definedName name="QBCANSUPPORTUPDATE" localSheetId="0">TRUE</definedName>
    <definedName name="QBCOMPANYFILENAME" localSheetId="0">"\\Tbs-1000\QBDATASERVER\HILLSBORO MILE - QUICKBOOKS.QBW"</definedName>
    <definedName name="QBENDDATE" localSheetId="0">20181231</definedName>
    <definedName name="QBHEADERSONSCREEN" localSheetId="0">FALSE</definedName>
    <definedName name="QBMETADATASIZE" localSheetId="0">5907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TRUE</definedName>
    <definedName name="QBREPORTCOLAXIS" localSheetId="0">8</definedName>
    <definedName name="QBREPORTCOMPANYID" localSheetId="0">"ee2bfde9f7fe4b729e5cfe7719e208bb"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TRUE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287</definedName>
    <definedName name="QBROWHEADERS" localSheetId="0">6</definedName>
    <definedName name="QBSTARTDATE" localSheetId="0">20180101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8" i="7" l="1"/>
  <c r="AM56" i="7"/>
  <c r="E18" i="8"/>
  <c r="G6" i="8"/>
  <c r="G5" i="8"/>
  <c r="G4" i="8"/>
  <c r="F8" i="8"/>
  <c r="AF49" i="7"/>
  <c r="AI29" i="7"/>
  <c r="E8" i="8"/>
  <c r="D8" i="8"/>
  <c r="G7" i="8"/>
  <c r="G3" i="8"/>
  <c r="AB52" i="7"/>
  <c r="Z52" i="7"/>
  <c r="J52" i="7"/>
  <c r="AI51" i="7"/>
  <c r="AF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AF50" i="7"/>
  <c r="AE50" i="7"/>
  <c r="AG50" i="7" s="1"/>
  <c r="AD50" i="7"/>
  <c r="AB50" i="7"/>
  <c r="Z50" i="7"/>
  <c r="X50" i="7"/>
  <c r="V50" i="7"/>
  <c r="T50" i="7"/>
  <c r="R50" i="7"/>
  <c r="P50" i="7"/>
  <c r="N50" i="7"/>
  <c r="L50" i="7"/>
  <c r="J50" i="7"/>
  <c r="H50" i="7"/>
  <c r="AJ48" i="7"/>
  <c r="AJ51" i="7" s="1"/>
  <c r="AF48" i="7"/>
  <c r="AE48" i="7"/>
  <c r="AD48" i="7"/>
  <c r="AB48" i="7"/>
  <c r="Z48" i="7"/>
  <c r="X48" i="7"/>
  <c r="V48" i="7"/>
  <c r="T48" i="7"/>
  <c r="R48" i="7"/>
  <c r="P48" i="7"/>
  <c r="N48" i="7"/>
  <c r="L48" i="7"/>
  <c r="J48" i="7"/>
  <c r="H48" i="7"/>
  <c r="AF47" i="7"/>
  <c r="AF46" i="7"/>
  <c r="AE46" i="7"/>
  <c r="AD46" i="7"/>
  <c r="AB46" i="7"/>
  <c r="Z46" i="7"/>
  <c r="X46" i="7"/>
  <c r="V46" i="7"/>
  <c r="T46" i="7"/>
  <c r="R46" i="7"/>
  <c r="P46" i="7"/>
  <c r="N46" i="7"/>
  <c r="L46" i="7"/>
  <c r="J46" i="7"/>
  <c r="H46" i="7"/>
  <c r="AJ44" i="7"/>
  <c r="AI44" i="7"/>
  <c r="AF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AF43" i="7"/>
  <c r="AE43" i="7"/>
  <c r="AD43" i="7"/>
  <c r="AB43" i="7"/>
  <c r="Z43" i="7"/>
  <c r="X43" i="7"/>
  <c r="V43" i="7"/>
  <c r="T43" i="7"/>
  <c r="R43" i="7"/>
  <c r="P43" i="7"/>
  <c r="N43" i="7"/>
  <c r="L43" i="7"/>
  <c r="J43" i="7"/>
  <c r="H43" i="7"/>
  <c r="AF42" i="7"/>
  <c r="AE42" i="7"/>
  <c r="AD42" i="7"/>
  <c r="AB42" i="7"/>
  <c r="Z42" i="7"/>
  <c r="X42" i="7"/>
  <c r="V42" i="7"/>
  <c r="T42" i="7"/>
  <c r="R42" i="7"/>
  <c r="P42" i="7"/>
  <c r="N42" i="7"/>
  <c r="L42" i="7"/>
  <c r="J42" i="7"/>
  <c r="H42" i="7"/>
  <c r="AF41" i="7"/>
  <c r="AF40" i="7"/>
  <c r="AE40" i="7"/>
  <c r="AD40" i="7"/>
  <c r="AB40" i="7"/>
  <c r="Z40" i="7"/>
  <c r="X40" i="7"/>
  <c r="V40" i="7"/>
  <c r="T40" i="7"/>
  <c r="R40" i="7"/>
  <c r="P40" i="7"/>
  <c r="N40" i="7"/>
  <c r="L40" i="7"/>
  <c r="J40" i="7"/>
  <c r="H40" i="7"/>
  <c r="AJ38" i="7"/>
  <c r="AF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AF37" i="7"/>
  <c r="AE37" i="7"/>
  <c r="AD37" i="7"/>
  <c r="AB37" i="7"/>
  <c r="Z37" i="7"/>
  <c r="X37" i="7"/>
  <c r="V37" i="7"/>
  <c r="T37" i="7"/>
  <c r="R37" i="7"/>
  <c r="P37" i="7"/>
  <c r="N37" i="7"/>
  <c r="L37" i="7"/>
  <c r="J37" i="7"/>
  <c r="H37" i="7"/>
  <c r="AF36" i="7"/>
  <c r="AE36" i="7"/>
  <c r="AD36" i="7"/>
  <c r="AB36" i="7"/>
  <c r="Z36" i="7"/>
  <c r="X36" i="7"/>
  <c r="V36" i="7"/>
  <c r="T36" i="7"/>
  <c r="R36" i="7"/>
  <c r="P36" i="7"/>
  <c r="N36" i="7"/>
  <c r="L36" i="7"/>
  <c r="J36" i="7"/>
  <c r="H36" i="7"/>
  <c r="AP35" i="7"/>
  <c r="AL35" i="7" s="1"/>
  <c r="AF35" i="7"/>
  <c r="AG35" i="7" s="1"/>
  <c r="AE35" i="7"/>
  <c r="AD35" i="7"/>
  <c r="AB35" i="7"/>
  <c r="Z35" i="7"/>
  <c r="X35" i="7"/>
  <c r="V35" i="7"/>
  <c r="T35" i="7"/>
  <c r="R35" i="7"/>
  <c r="P35" i="7"/>
  <c r="N35" i="7"/>
  <c r="L35" i="7"/>
  <c r="J35" i="7"/>
  <c r="H35" i="7"/>
  <c r="AF34" i="7"/>
  <c r="AF33" i="7"/>
  <c r="AF32" i="7"/>
  <c r="AF31" i="7"/>
  <c r="AF30" i="7"/>
  <c r="AF29" i="7"/>
  <c r="AE29" i="7"/>
  <c r="AD29" i="7"/>
  <c r="AB29" i="7"/>
  <c r="Z29" i="7"/>
  <c r="X29" i="7"/>
  <c r="V29" i="7"/>
  <c r="T29" i="7"/>
  <c r="R29" i="7"/>
  <c r="P29" i="7"/>
  <c r="N29" i="7"/>
  <c r="L29" i="7"/>
  <c r="J29" i="7"/>
  <c r="H29" i="7"/>
  <c r="AF28" i="7"/>
  <c r="AE28" i="7"/>
  <c r="AD28" i="7"/>
  <c r="AB28" i="7"/>
  <c r="Z28" i="7"/>
  <c r="X28" i="7"/>
  <c r="V28" i="7"/>
  <c r="T28" i="7"/>
  <c r="R28" i="7"/>
  <c r="P28" i="7"/>
  <c r="N28" i="7"/>
  <c r="L28" i="7"/>
  <c r="J28" i="7"/>
  <c r="H28" i="7"/>
  <c r="AF27" i="7"/>
  <c r="AE27" i="7"/>
  <c r="AD27" i="7"/>
  <c r="AB27" i="7"/>
  <c r="Z27" i="7"/>
  <c r="X27" i="7"/>
  <c r="V27" i="7"/>
  <c r="T27" i="7"/>
  <c r="R27" i="7"/>
  <c r="P27" i="7"/>
  <c r="N27" i="7"/>
  <c r="L27" i="7"/>
  <c r="J27" i="7"/>
  <c r="H27" i="7"/>
  <c r="AI25" i="7"/>
  <c r="AF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I25" i="7"/>
  <c r="H25" i="7"/>
  <c r="G25" i="7"/>
  <c r="AF24" i="7"/>
  <c r="AE24" i="7"/>
  <c r="AD24" i="7"/>
  <c r="AB24" i="7"/>
  <c r="Z24" i="7"/>
  <c r="X24" i="7"/>
  <c r="V24" i="7"/>
  <c r="T24" i="7"/>
  <c r="R24" i="7"/>
  <c r="P24" i="7"/>
  <c r="N24" i="7"/>
  <c r="L24" i="7"/>
  <c r="J24" i="7"/>
  <c r="H24" i="7"/>
  <c r="AF23" i="7"/>
  <c r="AE23" i="7"/>
  <c r="AG23" i="7" s="1"/>
  <c r="AD23" i="7"/>
  <c r="AB23" i="7"/>
  <c r="Z23" i="7"/>
  <c r="X23" i="7"/>
  <c r="V23" i="7"/>
  <c r="T23" i="7"/>
  <c r="R23" i="7"/>
  <c r="P23" i="7"/>
  <c r="N23" i="7"/>
  <c r="L23" i="7"/>
  <c r="J23" i="7"/>
  <c r="H23" i="7"/>
  <c r="AM20" i="7"/>
  <c r="AJ20" i="7"/>
  <c r="AJ25" i="7" s="1"/>
  <c r="J25" i="7" s="1"/>
  <c r="AM19" i="7"/>
  <c r="AN28" i="7" s="1"/>
  <c r="AF19" i="7"/>
  <c r="AE19" i="7"/>
  <c r="AD19" i="7"/>
  <c r="AB19" i="7"/>
  <c r="Z19" i="7"/>
  <c r="X19" i="7"/>
  <c r="V19" i="7"/>
  <c r="T19" i="7"/>
  <c r="R19" i="7"/>
  <c r="P19" i="7"/>
  <c r="N19" i="7"/>
  <c r="L19" i="7"/>
  <c r="J19" i="7"/>
  <c r="H19" i="7"/>
  <c r="AF18" i="7"/>
  <c r="AE18" i="7"/>
  <c r="AD18" i="7"/>
  <c r="AB18" i="7"/>
  <c r="Z18" i="7"/>
  <c r="X18" i="7"/>
  <c r="V18" i="7"/>
  <c r="T18" i="7"/>
  <c r="R18" i="7"/>
  <c r="P18" i="7"/>
  <c r="N18" i="7"/>
  <c r="L18" i="7"/>
  <c r="J18" i="7"/>
  <c r="H18" i="7"/>
  <c r="AF16" i="7"/>
  <c r="AE16" i="7"/>
  <c r="AD16" i="7"/>
  <c r="AB16" i="7"/>
  <c r="Z16" i="7"/>
  <c r="X16" i="7"/>
  <c r="V16" i="7"/>
  <c r="T16" i="7"/>
  <c r="R16" i="7"/>
  <c r="P16" i="7"/>
  <c r="N16" i="7"/>
  <c r="L16" i="7"/>
  <c r="J16" i="7"/>
  <c r="H16" i="7"/>
  <c r="AN15" i="7"/>
  <c r="AN14" i="7"/>
  <c r="AN13" i="7"/>
  <c r="AL13" i="7"/>
  <c r="AI13" i="7"/>
  <c r="AC13" i="7"/>
  <c r="AA13" i="7"/>
  <c r="Y13" i="7"/>
  <c r="W13" i="7"/>
  <c r="U13" i="7"/>
  <c r="S13" i="7"/>
  <c r="Q13" i="7"/>
  <c r="O13" i="7"/>
  <c r="M13" i="7"/>
  <c r="K13" i="7"/>
  <c r="I13" i="7"/>
  <c r="G13" i="7"/>
  <c r="AF12" i="7"/>
  <c r="AE12" i="7"/>
  <c r="AD12" i="7"/>
  <c r="AB12" i="7"/>
  <c r="Z12" i="7"/>
  <c r="X12" i="7"/>
  <c r="V12" i="7"/>
  <c r="T12" i="7"/>
  <c r="R12" i="7"/>
  <c r="P12" i="7"/>
  <c r="N12" i="7"/>
  <c r="L12" i="7"/>
  <c r="J12" i="7"/>
  <c r="H12" i="7"/>
  <c r="AF11" i="7"/>
  <c r="AE11" i="7"/>
  <c r="AD11" i="7"/>
  <c r="AB11" i="7"/>
  <c r="Z11" i="7"/>
  <c r="X11" i="7"/>
  <c r="V11" i="7"/>
  <c r="T11" i="7"/>
  <c r="R11" i="7"/>
  <c r="P11" i="7"/>
  <c r="N11" i="7"/>
  <c r="L11" i="7"/>
  <c r="J11" i="7"/>
  <c r="H11" i="7"/>
  <c r="AF10" i="7"/>
  <c r="AE10" i="7"/>
  <c r="AD10" i="7"/>
  <c r="AB10" i="7"/>
  <c r="Z10" i="7"/>
  <c r="X10" i="7"/>
  <c r="V10" i="7"/>
  <c r="T10" i="7"/>
  <c r="R10" i="7"/>
  <c r="P10" i="7"/>
  <c r="N10" i="7"/>
  <c r="L10" i="7"/>
  <c r="J10" i="7"/>
  <c r="H10" i="7"/>
  <c r="AP9" i="7"/>
  <c r="AF9" i="7"/>
  <c r="AE9" i="7"/>
  <c r="AD9" i="7"/>
  <c r="AB9" i="7"/>
  <c r="Z9" i="7"/>
  <c r="X9" i="7"/>
  <c r="V9" i="7"/>
  <c r="T9" i="7"/>
  <c r="R9" i="7"/>
  <c r="P9" i="7"/>
  <c r="N9" i="7"/>
  <c r="L9" i="7"/>
  <c r="J9" i="7"/>
  <c r="H9" i="7"/>
  <c r="AP8" i="7"/>
  <c r="AM8" i="7"/>
  <c r="AF8" i="7"/>
  <c r="AE8" i="7"/>
  <c r="AD8" i="7"/>
  <c r="AB8" i="7"/>
  <c r="Z8" i="7"/>
  <c r="X8" i="7"/>
  <c r="V8" i="7"/>
  <c r="T8" i="7"/>
  <c r="R8" i="7"/>
  <c r="P8" i="7"/>
  <c r="N8" i="7"/>
  <c r="L8" i="7"/>
  <c r="J8" i="7"/>
  <c r="H8" i="7"/>
  <c r="AP6" i="7"/>
  <c r="AM6" i="7"/>
  <c r="T6" i="7"/>
  <c r="AE6" i="7"/>
  <c r="AG10" i="7" l="1"/>
  <c r="AG37" i="7"/>
  <c r="AG16" i="7"/>
  <c r="AP10" i="7"/>
  <c r="G8" i="8"/>
  <c r="F17" i="8" s="1"/>
  <c r="G17" i="8" s="1"/>
  <c r="AG42" i="7"/>
  <c r="I52" i="7"/>
  <c r="AA52" i="7"/>
  <c r="Y52" i="7"/>
  <c r="AG19" i="7"/>
  <c r="AG48" i="7"/>
  <c r="AG28" i="7"/>
  <c r="AE38" i="7"/>
  <c r="AG38" i="7" s="1"/>
  <c r="K52" i="7"/>
  <c r="M52" i="7"/>
  <c r="U52" i="7"/>
  <c r="AC52" i="7"/>
  <c r="AG24" i="7"/>
  <c r="AE51" i="7"/>
  <c r="O52" i="7"/>
  <c r="AE13" i="7"/>
  <c r="AG12" i="7"/>
  <c r="AE25" i="7"/>
  <c r="AG25" i="7" s="1"/>
  <c r="AG43" i="7"/>
  <c r="AG46" i="7"/>
  <c r="S52" i="7"/>
  <c r="AG11" i="7"/>
  <c r="AE44" i="7"/>
  <c r="AG44" i="7" s="1"/>
  <c r="W52" i="7"/>
  <c r="Q52" i="7"/>
  <c r="AG36" i="7"/>
  <c r="AG29" i="7"/>
  <c r="AG40" i="7"/>
  <c r="AJ52" i="7"/>
  <c r="AG27" i="7"/>
  <c r="AG9" i="7"/>
  <c r="AG8" i="7"/>
  <c r="AG18" i="7"/>
  <c r="G52" i="7"/>
  <c r="AI52" i="7"/>
  <c r="R52" i="7"/>
  <c r="L52" i="7"/>
  <c r="L6" i="7"/>
  <c r="N6" i="7"/>
  <c r="AD6" i="7"/>
  <c r="N52" i="7"/>
  <c r="V52" i="7"/>
  <c r="AD52" i="7"/>
  <c r="V6" i="7"/>
  <c r="H6" i="7"/>
  <c r="X6" i="7"/>
  <c r="Z6" i="7"/>
  <c r="T52" i="7"/>
  <c r="AB6" i="7"/>
  <c r="R6" i="7"/>
  <c r="AF6" i="7"/>
  <c r="AG6" i="7" s="1"/>
  <c r="H52" i="7"/>
  <c r="P52" i="7"/>
  <c r="X52" i="7"/>
  <c r="AF52" i="7"/>
  <c r="J6" i="7"/>
  <c r="P6" i="7"/>
  <c r="F16" i="8" l="1"/>
  <c r="G16" i="8" s="1"/>
  <c r="F19" i="8"/>
  <c r="G19" i="8" s="1"/>
  <c r="AJ6" i="7"/>
  <c r="AG51" i="7"/>
  <c r="AG52" i="7" s="1"/>
  <c r="AE52" i="7"/>
  <c r="AF13" i="7"/>
  <c r="AG13" i="7" s="1"/>
  <c r="X13" i="7"/>
  <c r="P13" i="7"/>
  <c r="H13" i="7"/>
  <c r="AD13" i="7"/>
  <c r="V13" i="7"/>
  <c r="N13" i="7"/>
  <c r="R13" i="7"/>
  <c r="Z13" i="7"/>
  <c r="AB13" i="7"/>
  <c r="T13" i="7"/>
  <c r="L13" i="7"/>
  <c r="J13" i="7"/>
  <c r="AL15" i="7" l="1"/>
  <c r="AL55" i="7"/>
  <c r="AJ58" i="7"/>
  <c r="AL58" i="7" s="1"/>
  <c r="AJ57" i="7"/>
  <c r="AL57" i="7" s="1"/>
  <c r="AN22" i="7"/>
  <c r="AP22" i="7" s="1"/>
  <c r="AJ59" i="7"/>
  <c r="AL59" i="7" s="1"/>
  <c r="AJ56" i="7"/>
  <c r="AN20" i="7"/>
  <c r="AP20" i="7" s="1"/>
  <c r="AN19" i="7"/>
  <c r="AP19" i="7" s="1"/>
  <c r="AL28" i="7"/>
  <c r="AJ13" i="7"/>
  <c r="AM16" i="7" s="1"/>
  <c r="C16" i="8" l="1"/>
  <c r="E16" i="8" s="1"/>
  <c r="AL56" i="7"/>
  <c r="AL60" i="7" s="1"/>
  <c r="AL61" i="7" s="1"/>
  <c r="C17" i="8"/>
  <c r="E17" i="8" s="1"/>
  <c r="AP23" i="7"/>
  <c r="C19" i="8"/>
  <c r="E19" i="8" s="1"/>
</calcChain>
</file>

<file path=xl/sharedStrings.xml><?xml version="1.0" encoding="utf-8"?>
<sst xmlns="http://schemas.openxmlformats.org/spreadsheetml/2006/main" count="134" uniqueCount="114">
  <si>
    <t>Month</t>
  </si>
  <si>
    <t>Jan Budget</t>
  </si>
  <si>
    <t>Feb Budget</t>
  </si>
  <si>
    <t>Mar Budget</t>
  </si>
  <si>
    <t>Apr Budget</t>
  </si>
  <si>
    <t>May Budget</t>
  </si>
  <si>
    <t>Jun Budget</t>
  </si>
  <si>
    <t>Jul Budget</t>
  </si>
  <si>
    <t>Aug Budget</t>
  </si>
  <si>
    <t>Sep Budget</t>
  </si>
  <si>
    <t>Oct Budget</t>
  </si>
  <si>
    <t>Nov Budget</t>
  </si>
  <si>
    <t>Dec Budget</t>
  </si>
  <si>
    <t>YTD Actual</t>
  </si>
  <si>
    <t>YTD Budget</t>
  </si>
  <si>
    <t>Difference Over / (Under) Budget</t>
  </si>
  <si>
    <t>Ordinary Income/Expense</t>
  </si>
  <si>
    <t>Income</t>
  </si>
  <si>
    <t>4000 · UNIT OWNER MAINT FEES</t>
  </si>
  <si>
    <t>4100 · INTEREST INCOME</t>
  </si>
  <si>
    <t>4200 · SCREENING FEE INCOME</t>
  </si>
  <si>
    <t>4300 · LAUNDRY FEE INCOME</t>
  </si>
  <si>
    <t>4400 - LATE FEE</t>
  </si>
  <si>
    <t>4500 · BOAT DOCK RENTAL FEES</t>
  </si>
  <si>
    <t>Total Income</t>
  </si>
  <si>
    <t>Expense</t>
  </si>
  <si>
    <t>ADMINISTRATIVE</t>
  </si>
  <si>
    <t>5000 · INSURANCE EXPENSE</t>
  </si>
  <si>
    <t>5010 · LICENSES &amp; TAXES</t>
  </si>
  <si>
    <t>5020 · LICENSES / CO-OP ANNUAL FEE</t>
  </si>
  <si>
    <t>5030 · OFFICE SUPPLIES</t>
  </si>
  <si>
    <t>5040 · PROFESSIONAL FEES</t>
  </si>
  <si>
    <t>Total ADMINISTRATIVE</t>
  </si>
  <si>
    <t>REPAIRS &amp; MAINTENANCE</t>
  </si>
  <si>
    <t>5150 · SEAWALL REPAIRS</t>
  </si>
  <si>
    <t>5100 · R &amp; M  BUILDINGS</t>
  </si>
  <si>
    <t>5110 · R &amp; M  BEACH</t>
  </si>
  <si>
    <t>5120 · R &amp; M  GROUNDS</t>
  </si>
  <si>
    <t>5130 · R &amp; M  PAINTING</t>
  </si>
  <si>
    <t>5140 · R &amp; M  ROOFING</t>
  </si>
  <si>
    <t>Total REPAIRS &amp; MAINTENANCE</t>
  </si>
  <si>
    <t>UTILITIES</t>
  </si>
  <si>
    <t>5200 · LIGHT / POWER / ELECTRICITY</t>
  </si>
  <si>
    <t>5210 · WATER</t>
  </si>
  <si>
    <t>5220 · SEWER</t>
  </si>
  <si>
    <t>Total UTILITIES</t>
  </si>
  <si>
    <t>OTHER EXPENSES</t>
  </si>
  <si>
    <t>5900 · CONTRACT SERVICES</t>
  </si>
  <si>
    <t>5910 · RENT EXPENSE ( Land Lease )</t>
  </si>
  <si>
    <t>Total OTHER EXPENSES</t>
  </si>
  <si>
    <t>Total Expense</t>
  </si>
  <si>
    <t>Jan22 Actual</t>
  </si>
  <si>
    <t>Feb22 Actual</t>
  </si>
  <si>
    <t>Mar22 Actual</t>
  </si>
  <si>
    <t>Apr22 Actual</t>
  </si>
  <si>
    <t>May22 Actual</t>
  </si>
  <si>
    <t>Jun22 Actual</t>
  </si>
  <si>
    <t>Jul22 Actual</t>
  </si>
  <si>
    <t>Aug22 Actual</t>
  </si>
  <si>
    <t>Sep22 Actual</t>
  </si>
  <si>
    <t>Oct22 Actual</t>
  </si>
  <si>
    <t>Nov22 Actual</t>
  </si>
  <si>
    <t>Dec22 Actual</t>
  </si>
  <si>
    <t>Cleaning Expenses</t>
  </si>
  <si>
    <t>Concrete Repairs</t>
  </si>
  <si>
    <t>Gas Expense</t>
  </si>
  <si>
    <t>Laundry Expenses</t>
  </si>
  <si>
    <t>Legal Expense</t>
  </si>
  <si>
    <t>Plumbing Expenses</t>
  </si>
  <si>
    <t>Postage</t>
  </si>
  <si>
    <t>Property Management</t>
  </si>
  <si>
    <t>17, 18, 19, 20, 23, 21, 22, 24, 25</t>
  </si>
  <si>
    <t>Units</t>
  </si>
  <si>
    <t>Breakdown</t>
  </si>
  <si>
    <t>Total for year</t>
  </si>
  <si>
    <t>TOTAL</t>
  </si>
  <si>
    <t>Maintenance Item</t>
  </si>
  <si>
    <t>Life</t>
  </si>
  <si>
    <t>Life Left</t>
  </si>
  <si>
    <t>Cost of Repair</t>
  </si>
  <si>
    <t>% breakdown</t>
  </si>
  <si>
    <t>Current Reserve Requirement</t>
  </si>
  <si>
    <t>Roof</t>
  </si>
  <si>
    <t>Parking Lot</t>
  </si>
  <si>
    <t>Replacement &amp; Restoration</t>
  </si>
  <si>
    <t>Paint</t>
  </si>
  <si>
    <t>Total</t>
  </si>
  <si>
    <t>*The Florida Statues require the Board of Directors to adopt a budget with full reserves.  The unit owners at a duly called meeting, may vote against the funding of full reserves or may opt to vot for reserves "less than adequate". (Partial Reserves)</t>
  </si>
  <si>
    <t>Hillsboro Mile Ocean Apts Section 4, Inc.
Reserves for 2023</t>
  </si>
  <si>
    <t>Seawall and Dock</t>
  </si>
  <si>
    <t>1, 5, 8, 16</t>
  </si>
  <si>
    <t>Boat</t>
  </si>
  <si>
    <t>% Breakdown</t>
  </si>
  <si>
    <t>2, 3, 4, 6, 7, 9, 10, 11, 12, 14, 15</t>
  </si>
  <si>
    <t>Fees for 2022</t>
  </si>
  <si>
    <t>Fees for 2023 with no reserves</t>
  </si>
  <si>
    <t>Full Reseres per Quarter</t>
  </si>
  <si>
    <t>Partial Reserves at 40%</t>
  </si>
  <si>
    <t>Assessment Income</t>
  </si>
  <si>
    <t>Engineer Expense</t>
  </si>
  <si>
    <t>Reserve Study</t>
  </si>
  <si>
    <t xml:space="preserve">actual for utilities was adding wrong it does not affect the 2024 as that column was correct.  </t>
  </si>
  <si>
    <t>Approved Budget 2024</t>
  </si>
  <si>
    <t>Estimated Expenses for 2024</t>
  </si>
  <si>
    <t>Fees for 2025 with no reserves</t>
  </si>
  <si>
    <t>Electrical Expense</t>
  </si>
  <si>
    <t>Fire Extingisher Expense</t>
  </si>
  <si>
    <t>Website Expense</t>
  </si>
  <si>
    <t>Mony in Reserves as of 12/31/2024</t>
  </si>
  <si>
    <t>17, 18, 19, 20, 23, 21, 22, 25</t>
  </si>
  <si>
    <t>1, 8, 16</t>
  </si>
  <si>
    <t>1,  8, 16</t>
  </si>
  <si>
    <t>2, 3, 4, 5, 6, 7, 9, 10, 11, 12, 14, 15</t>
  </si>
  <si>
    <t>Proposed Budget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</si>
</sst>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164" formatCode="0.00_);[Red]\(0.00\)"/>
    <numFmt numFmtId="165" formatCode="#,##0.00;\-#,##0.00"/>
    <numFmt numFmtId="166" formatCode="&quot;$&quot;#,##0.00"/>
    <numFmt numFmtId="167" formatCode="0.0000000000000_);[Red]\(0.0000000000000\)"/>
    <numFmt numFmtId="168" formatCode="0.000000000_);[Red]\(0.000000000\)"/>
    <numFmt numFmtId="169" formatCode="0.00000000_);[Red]\(0.00000000\)"/>
    <numFmt numFmtId="170" formatCode="&quot;$&quot;#,##0"/>
  </numFmts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166" fontId="2" fillId="0" borderId="4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6" fontId="0" fillId="0" borderId="0" xfId="0" applyNumberFormat="1"/>
    <xf numFmtId="0" fontId="3" fillId="0" borderId="0" xfId="0" applyFont="1"/>
    <xf numFmtId="166" fontId="3" fillId="0" borderId="0" xfId="0" applyNumberFormat="1" applyFont="1"/>
    <xf numFmtId="164" fontId="3" fillId="0" borderId="0" xfId="0" applyNumberFormat="1" applyFon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69" fontId="2" fillId="0" borderId="4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9" fontId="5" fillId="0" borderId="4" xfId="0" applyNumberFormat="1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wrapText="1"/>
    </xf>
    <xf numFmtId="1" fontId="8" fillId="0" borderId="0" xfId="0" applyNumberFormat="1" applyFont="1" applyAlignment="1" applyProtection="1">
      <alignment horizontal="center"/>
      <protection locked="0"/>
    </xf>
    <xf numFmtId="49" fontId="6" fillId="0" borderId="0" xfId="0" applyNumberFormat="1" applyFont="1" applyAlignment="1">
      <alignment horizontal="centerContinuous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165" fontId="9" fillId="0" borderId="0" xfId="0" applyNumberFormat="1" applyFont="1"/>
    <xf numFmtId="166" fontId="6" fillId="0" borderId="0" xfId="0" applyNumberFormat="1" applyFont="1" applyAlignment="1">
      <alignment horizontal="center"/>
    </xf>
    <xf numFmtId="165" fontId="9" fillId="0" borderId="0" xfId="0" applyNumberFormat="1" applyFont="1" applyProtection="1">
      <protection locked="0"/>
    </xf>
    <xf numFmtId="39" fontId="9" fillId="0" borderId="0" xfId="0" applyNumberFormat="1" applyFont="1"/>
    <xf numFmtId="166" fontId="10" fillId="0" borderId="0" xfId="0" applyNumberFormat="1" applyFont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5" fontId="9" fillId="0" borderId="2" xfId="0" applyNumberFormat="1" applyFont="1" applyBorder="1"/>
    <xf numFmtId="165" fontId="9" fillId="0" borderId="1" xfId="0" applyNumberFormat="1" applyFont="1" applyBorder="1"/>
    <xf numFmtId="39" fontId="9" fillId="0" borderId="2" xfId="0" applyNumberFormat="1" applyFont="1" applyBorder="1"/>
    <xf numFmtId="166" fontId="11" fillId="0" borderId="1" xfId="0" applyNumberFormat="1" applyFont="1" applyBorder="1" applyAlignment="1">
      <alignment horizontal="center"/>
    </xf>
    <xf numFmtId="166" fontId="11" fillId="0" borderId="2" xfId="0" applyNumberFormat="1" applyFont="1" applyBorder="1" applyAlignment="1">
      <alignment horizontal="center"/>
    </xf>
    <xf numFmtId="165" fontId="9" fillId="0" borderId="1" xfId="0" applyNumberFormat="1" applyFont="1" applyBorder="1" applyProtection="1">
      <protection locked="0"/>
    </xf>
    <xf numFmtId="39" fontId="9" fillId="0" borderId="1" xfId="0" applyNumberFormat="1" applyFont="1" applyBorder="1"/>
    <xf numFmtId="166" fontId="11" fillId="0" borderId="0" xfId="0" applyNumberFormat="1" applyFont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5" fontId="9" fillId="0" borderId="3" xfId="0" applyNumberFormat="1" applyFont="1" applyBorder="1"/>
    <xf numFmtId="39" fontId="9" fillId="0" borderId="3" xfId="0" applyNumberFormat="1" applyFont="1" applyBorder="1"/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166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169" fontId="5" fillId="0" borderId="16" xfId="0" applyNumberFormat="1" applyFont="1" applyBorder="1" applyAlignment="1">
      <alignment horizontal="center" wrapText="1"/>
    </xf>
    <xf numFmtId="166" fontId="5" fillId="0" borderId="17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70" fontId="0" fillId="0" borderId="4" xfId="0" applyNumberFormat="1" applyBorder="1" applyAlignment="1">
      <alignment horizontal="center"/>
    </xf>
    <xf numFmtId="166" fontId="10" fillId="3" borderId="0" xfId="0" applyNumberFormat="1" applyFont="1" applyFill="1" applyAlignment="1">
      <alignment horizontal="center"/>
    </xf>
    <xf numFmtId="3" fontId="5" fillId="0" borderId="4" xfId="0" applyNumberFormat="1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166" fontId="5" fillId="0" borderId="19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/>
    </xf>
    <xf numFmtId="3" fontId="0" fillId="0" borderId="4" xfId="0" applyNumberFormat="1" applyBorder="1" applyAlignment="1">
      <alignment horizontal="center"/>
    </xf>
    <xf numFmtId="170" fontId="0" fillId="3" borderId="4" xfId="0" applyNumberForma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4</xdr:col>
          <xdr:colOff>160020</xdr:colOff>
          <xdr:row>2</xdr:row>
          <xdr:rowOff>228600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6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4</xdr:col>
          <xdr:colOff>160020</xdr:colOff>
          <xdr:row>2</xdr:row>
          <xdr:rowOff>228600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6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F945-2CC8-4056-8B17-E5FCD8E54CA2}">
  <sheetPr codeName="Sheet7">
    <pageSetUpPr fitToPage="1"/>
  </sheetPr>
  <dimension ref="A1:AQ61"/>
  <sheetViews>
    <sheetView tabSelected="1" zoomScale="85" zoomScaleNormal="85" workbookViewId="0">
      <pane xSplit="6" ySplit="3" topLeftCell="AH4" activePane="bottomRight" state="frozenSplit"/>
      <selection pane="topRight" activeCell="G1" sqref="G1"/>
      <selection pane="bottomLeft" activeCell="A3" sqref="A3"/>
      <selection pane="bottomRight" activeCell="F1" sqref="F1"/>
    </sheetView>
  </sheetViews>
  <sheetFormatPr defaultRowHeight="14.4" x14ac:dyDescent="0.3"/>
  <cols>
    <col min="1" max="5" width="3" style="1" customWidth="1"/>
    <col min="6" max="6" width="52" style="1" customWidth="1"/>
    <col min="7" max="7" width="12.44140625" style="1" hidden="1" customWidth="1"/>
    <col min="8" max="8" width="10.6640625" style="1" hidden="1" customWidth="1"/>
    <col min="9" max="9" width="12" style="1" hidden="1" customWidth="1"/>
    <col min="10" max="10" width="10.6640625" style="1" hidden="1" customWidth="1"/>
    <col min="11" max="11" width="12" style="1" hidden="1" customWidth="1"/>
    <col min="12" max="12" width="10.6640625" style="1" hidden="1" customWidth="1"/>
    <col min="13" max="13" width="12.6640625" style="1" hidden="1" customWidth="1"/>
    <col min="14" max="14" width="10.6640625" style="1" hidden="1" customWidth="1"/>
    <col min="15" max="15" width="11.5546875" style="1" hidden="1" customWidth="1"/>
    <col min="16" max="16" width="10.6640625" style="1" hidden="1" customWidth="1"/>
    <col min="17" max="17" width="12" style="1" hidden="1" customWidth="1"/>
    <col min="18" max="18" width="10.6640625" style="1" hidden="1" customWidth="1"/>
    <col min="19" max="19" width="12.5546875" style="1" hidden="1" customWidth="1"/>
    <col min="20" max="22" width="10.6640625" style="1" hidden="1" customWidth="1"/>
    <col min="23" max="23" width="12.33203125" style="1" hidden="1" customWidth="1"/>
    <col min="24" max="28" width="10.6640625" style="1" hidden="1" customWidth="1"/>
    <col min="29" max="29" width="14.33203125" style="1" hidden="1" customWidth="1"/>
    <col min="30" max="30" width="10.6640625" style="1" hidden="1" customWidth="1"/>
    <col min="31" max="31" width="11.44140625" style="1" hidden="1" customWidth="1"/>
    <col min="32" max="32" width="12.33203125" style="1" hidden="1" customWidth="1"/>
    <col min="33" max="33" width="16.5546875" style="1" hidden="1" customWidth="1"/>
    <col min="34" max="34" width="21.44140625" customWidth="1"/>
    <col min="35" max="35" width="17.5546875" style="2" customWidth="1"/>
    <col min="36" max="36" width="21.5546875" customWidth="1"/>
    <col min="38" max="38" width="28.5546875" customWidth="1"/>
    <col min="39" max="39" width="27.5546875" customWidth="1"/>
    <col min="40" max="40" width="17.33203125" bestFit="1" customWidth="1"/>
    <col min="41" max="41" width="10.44140625" customWidth="1"/>
    <col min="42" max="42" width="12.33203125" bestFit="1" customWidth="1"/>
    <col min="43" max="43" width="15.33203125" bestFit="1" customWidth="1"/>
  </cols>
  <sheetData>
    <row r="1" spans="1:43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8" t="s">
        <v>0</v>
      </c>
      <c r="AG1" s="27"/>
      <c r="AH1" s="29"/>
      <c r="AI1" s="30"/>
      <c r="AJ1" s="29"/>
    </row>
    <row r="2" spans="1:43" ht="18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2"/>
      <c r="AF2" s="33">
        <v>5</v>
      </c>
      <c r="AG2" s="31"/>
      <c r="AH2" s="34"/>
      <c r="AI2" s="30"/>
      <c r="AJ2" s="29"/>
    </row>
    <row r="3" spans="1:43" s="3" customFormat="1" ht="70.2" thickBot="1" x14ac:dyDescent="0.35">
      <c r="A3" s="35"/>
      <c r="B3" s="35"/>
      <c r="C3" s="35"/>
      <c r="D3" s="35"/>
      <c r="E3" s="35"/>
      <c r="F3" s="35"/>
      <c r="G3" s="36" t="s">
        <v>51</v>
      </c>
      <c r="H3" s="36" t="s">
        <v>1</v>
      </c>
      <c r="I3" s="63" t="s">
        <v>52</v>
      </c>
      <c r="J3" s="63" t="s">
        <v>2</v>
      </c>
      <c r="K3" s="63" t="s">
        <v>53</v>
      </c>
      <c r="L3" s="63" t="s">
        <v>3</v>
      </c>
      <c r="M3" s="63" t="s">
        <v>54</v>
      </c>
      <c r="N3" s="63" t="s">
        <v>4</v>
      </c>
      <c r="O3" s="63" t="s">
        <v>55</v>
      </c>
      <c r="P3" s="63" t="s">
        <v>5</v>
      </c>
      <c r="Q3" s="63" t="s">
        <v>56</v>
      </c>
      <c r="R3" s="63" t="s">
        <v>6</v>
      </c>
      <c r="S3" s="63" t="s">
        <v>57</v>
      </c>
      <c r="T3" s="63" t="s">
        <v>7</v>
      </c>
      <c r="U3" s="63" t="s">
        <v>58</v>
      </c>
      <c r="V3" s="63" t="s">
        <v>8</v>
      </c>
      <c r="W3" s="63" t="s">
        <v>59</v>
      </c>
      <c r="X3" s="63" t="s">
        <v>9</v>
      </c>
      <c r="Y3" s="63" t="s">
        <v>60</v>
      </c>
      <c r="Z3" s="63" t="s">
        <v>10</v>
      </c>
      <c r="AA3" s="63" t="s">
        <v>61</v>
      </c>
      <c r="AB3" s="63" t="s">
        <v>11</v>
      </c>
      <c r="AC3" s="63" t="s">
        <v>62</v>
      </c>
      <c r="AD3" s="63" t="s">
        <v>12</v>
      </c>
      <c r="AE3" s="63" t="s">
        <v>13</v>
      </c>
      <c r="AF3" s="63" t="s">
        <v>14</v>
      </c>
      <c r="AG3" s="63" t="s">
        <v>15</v>
      </c>
      <c r="AH3" s="55" t="s">
        <v>102</v>
      </c>
      <c r="AI3" s="54" t="s">
        <v>103</v>
      </c>
      <c r="AJ3" s="55" t="s">
        <v>113</v>
      </c>
    </row>
    <row r="4" spans="1:43" ht="18" x14ac:dyDescent="0.35">
      <c r="A4" s="31"/>
      <c r="B4" s="31" t="s">
        <v>16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7"/>
      <c r="AG4" s="31"/>
      <c r="AH4" s="29"/>
      <c r="AI4" s="30"/>
      <c r="AJ4" s="29"/>
      <c r="AL4" s="76" t="s">
        <v>94</v>
      </c>
      <c r="AM4" s="76"/>
      <c r="AN4" s="76"/>
      <c r="AO4" s="76"/>
      <c r="AP4" s="76"/>
    </row>
    <row r="5" spans="1:43" ht="18" x14ac:dyDescent="0.35">
      <c r="A5" s="31"/>
      <c r="B5" s="31"/>
      <c r="C5" s="31"/>
      <c r="D5" s="31" t="s">
        <v>17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7"/>
      <c r="AG5" s="31"/>
      <c r="AH5" s="38"/>
      <c r="AI5" s="38"/>
      <c r="AJ5" s="38"/>
      <c r="AL5" s="5" t="s">
        <v>72</v>
      </c>
      <c r="AM5" s="5" t="s">
        <v>92</v>
      </c>
      <c r="AN5" s="6" t="s">
        <v>73</v>
      </c>
      <c r="AO5" s="6" t="s">
        <v>91</v>
      </c>
      <c r="AP5" s="6" t="s">
        <v>74</v>
      </c>
    </row>
    <row r="6" spans="1:43" ht="17.399999999999999" x14ac:dyDescent="0.3">
      <c r="A6" s="31"/>
      <c r="B6" s="31"/>
      <c r="C6" s="31"/>
      <c r="D6" s="31"/>
      <c r="E6" s="31" t="s">
        <v>18</v>
      </c>
      <c r="F6" s="31"/>
      <c r="G6" s="39">
        <v>19376</v>
      </c>
      <c r="H6" s="37">
        <f>$AH$6/12</f>
        <v>19744.125</v>
      </c>
      <c r="I6" s="39">
        <v>19376</v>
      </c>
      <c r="J6" s="37">
        <f>$AH$6/12</f>
        <v>19744.125</v>
      </c>
      <c r="K6" s="39">
        <v>19376</v>
      </c>
      <c r="L6" s="37">
        <f>$AH$6/12</f>
        <v>19744.125</v>
      </c>
      <c r="M6" s="39">
        <v>19376</v>
      </c>
      <c r="N6" s="37">
        <f>$AH$6/12</f>
        <v>19744.125</v>
      </c>
      <c r="O6" s="39">
        <v>19376</v>
      </c>
      <c r="P6" s="37">
        <f>$AH$6/12</f>
        <v>19744.125</v>
      </c>
      <c r="Q6" s="39"/>
      <c r="R6" s="37">
        <f>$AH$6/12</f>
        <v>19744.125</v>
      </c>
      <c r="S6" s="39"/>
      <c r="T6" s="37">
        <f>$AH$6/12</f>
        <v>19744.125</v>
      </c>
      <c r="U6" s="39"/>
      <c r="V6" s="37">
        <f>$AH$6/12</f>
        <v>19744.125</v>
      </c>
      <c r="W6" s="39"/>
      <c r="X6" s="37">
        <f>$AH$6/12</f>
        <v>19744.125</v>
      </c>
      <c r="Y6" s="39"/>
      <c r="Z6" s="37">
        <f>$AH$6/12</f>
        <v>19744.125</v>
      </c>
      <c r="AA6" s="39"/>
      <c r="AB6" s="37">
        <f>$AH$6/12</f>
        <v>19744.125</v>
      </c>
      <c r="AC6" s="39"/>
      <c r="AD6" s="37">
        <f>$AH$6/12</f>
        <v>19744.125</v>
      </c>
      <c r="AE6" s="37">
        <f t="shared" ref="AE6:AE13" si="0">G6+I6+K6+M6+O6+Q6+S6+U6+W6+Y6+AA6+AC6</f>
        <v>96880</v>
      </c>
      <c r="AF6" s="37">
        <f t="shared" ref="AF6:AF13" si="1">(AH6/12)*$AF$2</f>
        <v>98720.625</v>
      </c>
      <c r="AG6" s="40">
        <f t="shared" ref="AG6:AG13" si="2">AE6-AF6</f>
        <v>-1840.625</v>
      </c>
      <c r="AH6" s="41">
        <v>236929.5</v>
      </c>
      <c r="AI6" s="41">
        <v>238119.83</v>
      </c>
      <c r="AJ6" s="41">
        <f>SUM(AJ52-AJ8-AJ10-AJ11-AJ12)</f>
        <v>255609.5</v>
      </c>
      <c r="AL6" s="5" t="s">
        <v>90</v>
      </c>
      <c r="AM6" s="22">
        <f>AP35</f>
        <v>4.4999999999999998E-2</v>
      </c>
      <c r="AN6" s="7">
        <v>2619</v>
      </c>
      <c r="AO6" s="7">
        <v>375</v>
      </c>
      <c r="AP6" s="7">
        <f>4*4*2619</f>
        <v>41904</v>
      </c>
      <c r="AQ6" s="15"/>
    </row>
    <row r="7" spans="1:43" ht="17.399999999999999" x14ac:dyDescent="0.3">
      <c r="A7" s="31"/>
      <c r="B7" s="31"/>
      <c r="C7" s="31"/>
      <c r="D7" s="31"/>
      <c r="E7" s="31"/>
      <c r="F7" s="31" t="s">
        <v>98</v>
      </c>
      <c r="G7" s="39"/>
      <c r="H7" s="37"/>
      <c r="I7" s="39"/>
      <c r="J7" s="37"/>
      <c r="K7" s="39"/>
      <c r="L7" s="37"/>
      <c r="M7" s="39"/>
      <c r="N7" s="37"/>
      <c r="O7" s="39"/>
      <c r="P7" s="37"/>
      <c r="Q7" s="39"/>
      <c r="R7" s="37"/>
      <c r="S7" s="39"/>
      <c r="T7" s="37"/>
      <c r="U7" s="39"/>
      <c r="V7" s="37"/>
      <c r="W7" s="39"/>
      <c r="X7" s="37"/>
      <c r="Y7" s="39"/>
      <c r="Z7" s="37"/>
      <c r="AA7" s="39"/>
      <c r="AB7" s="37"/>
      <c r="AC7" s="39"/>
      <c r="AD7" s="37"/>
      <c r="AE7" s="37"/>
      <c r="AF7" s="37"/>
      <c r="AG7" s="40"/>
      <c r="AH7" s="41">
        <v>100000</v>
      </c>
      <c r="AI7" s="41">
        <v>250000</v>
      </c>
      <c r="AJ7" s="41">
        <v>0</v>
      </c>
      <c r="AL7" s="5"/>
      <c r="AM7" s="22"/>
      <c r="AN7" s="7"/>
      <c r="AO7" s="7"/>
      <c r="AP7" s="7"/>
      <c r="AQ7" s="15"/>
    </row>
    <row r="8" spans="1:43" ht="17.399999999999999" x14ac:dyDescent="0.3">
      <c r="A8" s="31"/>
      <c r="B8" s="31"/>
      <c r="C8" s="31"/>
      <c r="D8" s="31"/>
      <c r="E8" s="31" t="s">
        <v>19</v>
      </c>
      <c r="F8" s="31"/>
      <c r="G8" s="39">
        <v>0.03</v>
      </c>
      <c r="H8" s="37">
        <f>$AH$8/12</f>
        <v>4.1666666666666664E-2</v>
      </c>
      <c r="I8" s="39">
        <v>0.03</v>
      </c>
      <c r="J8" s="37">
        <f>$AH$8/12</f>
        <v>4.1666666666666664E-2</v>
      </c>
      <c r="K8" s="39">
        <v>0.03</v>
      </c>
      <c r="L8" s="37">
        <f>$AH$8/12</f>
        <v>4.1666666666666664E-2</v>
      </c>
      <c r="M8" s="39">
        <v>0.03</v>
      </c>
      <c r="N8" s="37">
        <f>$AH$8/12</f>
        <v>4.1666666666666664E-2</v>
      </c>
      <c r="O8" s="39">
        <v>0.03</v>
      </c>
      <c r="P8" s="37">
        <f>$AH$8/12</f>
        <v>4.1666666666666664E-2</v>
      </c>
      <c r="Q8" s="39"/>
      <c r="R8" s="37">
        <f>$AH$8/12</f>
        <v>4.1666666666666664E-2</v>
      </c>
      <c r="S8" s="39"/>
      <c r="T8" s="37">
        <f>$AH$8/12</f>
        <v>4.1666666666666664E-2</v>
      </c>
      <c r="U8" s="39"/>
      <c r="V8" s="37">
        <f>$AH$8/12</f>
        <v>4.1666666666666664E-2</v>
      </c>
      <c r="W8" s="39"/>
      <c r="X8" s="37">
        <f>$AH$8/12</f>
        <v>4.1666666666666664E-2</v>
      </c>
      <c r="Y8" s="39"/>
      <c r="Z8" s="37">
        <f>$AH$8/12</f>
        <v>4.1666666666666664E-2</v>
      </c>
      <c r="AA8" s="39"/>
      <c r="AB8" s="37">
        <f>$AH$8/12</f>
        <v>4.1666666666666664E-2</v>
      </c>
      <c r="AC8" s="39"/>
      <c r="AD8" s="37">
        <f>$AH$8/12</f>
        <v>4.1666666666666664E-2</v>
      </c>
      <c r="AE8" s="37">
        <f t="shared" si="0"/>
        <v>0.15</v>
      </c>
      <c r="AF8" s="37">
        <f t="shared" si="1"/>
        <v>0.20833333333333331</v>
      </c>
      <c r="AG8" s="40">
        <f t="shared" si="2"/>
        <v>-5.833333333333332E-2</v>
      </c>
      <c r="AH8" s="41">
        <v>0.5</v>
      </c>
      <c r="AI8" s="41">
        <v>2.44</v>
      </c>
      <c r="AJ8" s="41">
        <v>0.5</v>
      </c>
      <c r="AL8" s="5" t="s">
        <v>93</v>
      </c>
      <c r="AM8" s="22">
        <f>AP35</f>
        <v>4.4999999999999998E-2</v>
      </c>
      <c r="AN8" s="7">
        <v>2619</v>
      </c>
      <c r="AO8" s="7">
        <v>0</v>
      </c>
      <c r="AP8" s="7">
        <f>2619*4*11</f>
        <v>115236</v>
      </c>
    </row>
    <row r="9" spans="1:43" ht="18" thickBot="1" x14ac:dyDescent="0.35">
      <c r="A9" s="31"/>
      <c r="B9" s="31"/>
      <c r="C9" s="31"/>
      <c r="D9" s="31"/>
      <c r="E9" s="31" t="s">
        <v>20</v>
      </c>
      <c r="F9" s="31"/>
      <c r="G9" s="39">
        <v>150</v>
      </c>
      <c r="H9" s="37">
        <f>$AH$9/12</f>
        <v>0</v>
      </c>
      <c r="I9" s="39">
        <v>500</v>
      </c>
      <c r="J9" s="37">
        <f>$AH$9/12</f>
        <v>0</v>
      </c>
      <c r="K9" s="39"/>
      <c r="L9" s="37">
        <f>$AH$9/12</f>
        <v>0</v>
      </c>
      <c r="M9" s="39">
        <v>350</v>
      </c>
      <c r="N9" s="37">
        <f>$AH$9/12</f>
        <v>0</v>
      </c>
      <c r="O9" s="39">
        <v>0</v>
      </c>
      <c r="P9" s="37">
        <f>$AH$9/12</f>
        <v>0</v>
      </c>
      <c r="Q9" s="39"/>
      <c r="R9" s="37">
        <f>$AH$9/12</f>
        <v>0</v>
      </c>
      <c r="S9" s="39"/>
      <c r="T9" s="37">
        <f>$AH$9/12</f>
        <v>0</v>
      </c>
      <c r="U9" s="39"/>
      <c r="V9" s="37">
        <f>$AH$9/12</f>
        <v>0</v>
      </c>
      <c r="W9" s="39"/>
      <c r="X9" s="37">
        <f>$AH$9/12</f>
        <v>0</v>
      </c>
      <c r="Y9" s="39"/>
      <c r="Z9" s="37">
        <f>$AH$9/12</f>
        <v>0</v>
      </c>
      <c r="AA9" s="39"/>
      <c r="AB9" s="37">
        <f>$AH$9/12</f>
        <v>0</v>
      </c>
      <c r="AC9" s="39"/>
      <c r="AD9" s="37">
        <f>$AH$9/12</f>
        <v>0</v>
      </c>
      <c r="AE9" s="37">
        <f t="shared" si="0"/>
        <v>1000</v>
      </c>
      <c r="AF9" s="37">
        <f t="shared" si="1"/>
        <v>0</v>
      </c>
      <c r="AG9" s="40">
        <f t="shared" si="2"/>
        <v>1000</v>
      </c>
      <c r="AH9" s="41">
        <v>0</v>
      </c>
      <c r="AI9" s="41">
        <v>0</v>
      </c>
      <c r="AJ9" s="41">
        <v>0</v>
      </c>
      <c r="AL9" s="5" t="s">
        <v>71</v>
      </c>
      <c r="AM9" s="61">
        <v>3.5999999999999997E-2</v>
      </c>
      <c r="AN9" s="7">
        <v>2095</v>
      </c>
      <c r="AO9" s="7">
        <v>0</v>
      </c>
      <c r="AP9" s="7">
        <f>2095*4*9</f>
        <v>75420</v>
      </c>
    </row>
    <row r="10" spans="1:43" ht="17.399999999999999" x14ac:dyDescent="0.3">
      <c r="A10" s="31"/>
      <c r="B10" s="31"/>
      <c r="C10" s="31"/>
      <c r="D10" s="31"/>
      <c r="E10" s="31" t="s">
        <v>21</v>
      </c>
      <c r="F10" s="31"/>
      <c r="G10" s="39">
        <v>390</v>
      </c>
      <c r="H10" s="37">
        <f>$AH$10/12</f>
        <v>166.66666666666666</v>
      </c>
      <c r="I10" s="39">
        <v>350</v>
      </c>
      <c r="J10" s="37">
        <f>$AH$10/12</f>
        <v>166.66666666666666</v>
      </c>
      <c r="K10" s="39"/>
      <c r="L10" s="37">
        <f>$AH$10/12</f>
        <v>166.66666666666666</v>
      </c>
      <c r="M10" s="39">
        <v>270</v>
      </c>
      <c r="N10" s="37">
        <f>$AH$10/12</f>
        <v>166.66666666666666</v>
      </c>
      <c r="O10" s="39">
        <v>0</v>
      </c>
      <c r="P10" s="37">
        <f>$AH$10/12</f>
        <v>166.66666666666666</v>
      </c>
      <c r="Q10" s="39"/>
      <c r="R10" s="37">
        <f>$AH$10/12</f>
        <v>166.66666666666666</v>
      </c>
      <c r="S10" s="39"/>
      <c r="T10" s="37">
        <f>$AH$10/12</f>
        <v>166.66666666666666</v>
      </c>
      <c r="U10" s="39"/>
      <c r="V10" s="37">
        <f>$AH$10/12</f>
        <v>166.66666666666666</v>
      </c>
      <c r="W10" s="39"/>
      <c r="X10" s="37">
        <f>$AH$10/12</f>
        <v>166.66666666666666</v>
      </c>
      <c r="Y10" s="39"/>
      <c r="Z10" s="37">
        <f>$AH$10/12</f>
        <v>166.66666666666666</v>
      </c>
      <c r="AA10" s="39"/>
      <c r="AB10" s="37">
        <f>$AH$10/12</f>
        <v>166.66666666666666</v>
      </c>
      <c r="AC10" s="39"/>
      <c r="AD10" s="37">
        <f>$AH$10/12</f>
        <v>166.66666666666666</v>
      </c>
      <c r="AE10" s="37">
        <f t="shared" si="0"/>
        <v>1010</v>
      </c>
      <c r="AF10" s="37">
        <f t="shared" si="1"/>
        <v>833.33333333333326</v>
      </c>
      <c r="AG10" s="40">
        <f t="shared" si="2"/>
        <v>176.66666666666674</v>
      </c>
      <c r="AH10" s="41">
        <v>2000</v>
      </c>
      <c r="AI10" s="41">
        <v>1000</v>
      </c>
      <c r="AJ10" s="41">
        <v>1000</v>
      </c>
      <c r="AL10" s="82" t="s">
        <v>75</v>
      </c>
      <c r="AM10" s="83"/>
      <c r="AN10" s="84"/>
      <c r="AO10" s="5"/>
      <c r="AP10" s="7">
        <f>SUM(AP6:AP9)</f>
        <v>232560</v>
      </c>
    </row>
    <row r="11" spans="1:43" ht="17.399999999999999" x14ac:dyDescent="0.3">
      <c r="A11" s="31"/>
      <c r="B11" s="31"/>
      <c r="C11" s="31"/>
      <c r="D11" s="31"/>
      <c r="E11" s="31" t="s">
        <v>22</v>
      </c>
      <c r="F11" s="31"/>
      <c r="G11" s="39">
        <v>0</v>
      </c>
      <c r="H11" s="37">
        <f>$AH$11/12</f>
        <v>4.166666666666667</v>
      </c>
      <c r="I11" s="39">
        <v>0</v>
      </c>
      <c r="J11" s="37">
        <f>$AH$11/12</f>
        <v>4.166666666666667</v>
      </c>
      <c r="K11" s="39"/>
      <c r="L11" s="37">
        <f>$AH$11/12</f>
        <v>4.166666666666667</v>
      </c>
      <c r="M11" s="39"/>
      <c r="N11" s="37">
        <f>$AH$11/12</f>
        <v>4.166666666666667</v>
      </c>
      <c r="O11" s="39">
        <v>0</v>
      </c>
      <c r="P11" s="37">
        <f>$AH$11/12</f>
        <v>4.166666666666667</v>
      </c>
      <c r="Q11" s="39"/>
      <c r="R11" s="37">
        <f>$AH$11/12</f>
        <v>4.166666666666667</v>
      </c>
      <c r="S11" s="39"/>
      <c r="T11" s="37">
        <f>$AH$11/12</f>
        <v>4.166666666666667</v>
      </c>
      <c r="U11" s="39"/>
      <c r="V11" s="37">
        <f>$AH$11/12</f>
        <v>4.166666666666667</v>
      </c>
      <c r="W11" s="39"/>
      <c r="X11" s="37">
        <f>$AH$11/12</f>
        <v>4.166666666666667</v>
      </c>
      <c r="Y11" s="39"/>
      <c r="Z11" s="37">
        <f>$AH$11/12</f>
        <v>4.166666666666667</v>
      </c>
      <c r="AA11" s="39"/>
      <c r="AB11" s="37">
        <f>$AH$11/12</f>
        <v>4.166666666666667</v>
      </c>
      <c r="AC11" s="39"/>
      <c r="AD11" s="37">
        <f>$AH$11/12</f>
        <v>4.166666666666667</v>
      </c>
      <c r="AE11" s="37">
        <f t="shared" si="0"/>
        <v>0</v>
      </c>
      <c r="AF11" s="37">
        <f t="shared" si="1"/>
        <v>20.833333333333336</v>
      </c>
      <c r="AG11" s="40">
        <f t="shared" si="2"/>
        <v>-20.833333333333336</v>
      </c>
      <c r="AH11" s="41">
        <v>50</v>
      </c>
      <c r="AI11" s="41">
        <v>575</v>
      </c>
      <c r="AJ11" s="41">
        <v>400</v>
      </c>
    </row>
    <row r="12" spans="1:43" ht="18" thickBot="1" x14ac:dyDescent="0.35">
      <c r="A12" s="31"/>
      <c r="B12" s="31"/>
      <c r="C12" s="31"/>
      <c r="D12" s="31"/>
      <c r="E12" s="31" t="s">
        <v>23</v>
      </c>
      <c r="F12" s="31"/>
      <c r="G12" s="39">
        <v>0</v>
      </c>
      <c r="H12" s="37">
        <f>$AH$12/12</f>
        <v>500</v>
      </c>
      <c r="I12" s="39">
        <v>0</v>
      </c>
      <c r="J12" s="37">
        <f>$AH$12/12</f>
        <v>500</v>
      </c>
      <c r="K12" s="39">
        <v>1485</v>
      </c>
      <c r="L12" s="37">
        <f>$AH$12/12</f>
        <v>500</v>
      </c>
      <c r="M12" s="39"/>
      <c r="N12" s="37">
        <f>$AH$12/12</f>
        <v>500</v>
      </c>
      <c r="O12" s="39">
        <v>0</v>
      </c>
      <c r="P12" s="37">
        <f>$AH$12/12</f>
        <v>500</v>
      </c>
      <c r="Q12" s="39"/>
      <c r="R12" s="37">
        <f>$AH$12/12</f>
        <v>500</v>
      </c>
      <c r="S12" s="39"/>
      <c r="T12" s="37">
        <f>$AH$12/12</f>
        <v>500</v>
      </c>
      <c r="U12" s="39"/>
      <c r="V12" s="37">
        <f>$AH$12/12</f>
        <v>500</v>
      </c>
      <c r="W12" s="39"/>
      <c r="X12" s="37">
        <f>$AH$12/12</f>
        <v>500</v>
      </c>
      <c r="Y12" s="39"/>
      <c r="Z12" s="37">
        <f>$AH$12/12</f>
        <v>500</v>
      </c>
      <c r="AA12" s="39"/>
      <c r="AB12" s="37">
        <f>$AH$12/12</f>
        <v>500</v>
      </c>
      <c r="AC12" s="39"/>
      <c r="AD12" s="37">
        <f>$AH$12/12</f>
        <v>500</v>
      </c>
      <c r="AE12" s="37">
        <f t="shared" si="0"/>
        <v>1485</v>
      </c>
      <c r="AF12" s="37">
        <f t="shared" si="1"/>
        <v>2500</v>
      </c>
      <c r="AG12" s="40">
        <f t="shared" si="2"/>
        <v>-1015</v>
      </c>
      <c r="AH12" s="42">
        <v>6000</v>
      </c>
      <c r="AI12" s="42">
        <v>6000</v>
      </c>
      <c r="AJ12" s="42">
        <v>6000</v>
      </c>
    </row>
    <row r="13" spans="1:43" ht="18" thickBot="1" x14ac:dyDescent="0.35">
      <c r="A13" s="31"/>
      <c r="B13" s="31"/>
      <c r="C13" s="31"/>
      <c r="D13" s="31" t="s">
        <v>24</v>
      </c>
      <c r="E13" s="31"/>
      <c r="F13" s="31"/>
      <c r="G13" s="43">
        <f>SUM(G6:G12)</f>
        <v>19916.03</v>
      </c>
      <c r="H13" s="43">
        <f>$AH$13/12</f>
        <v>28748.333333333332</v>
      </c>
      <c r="I13" s="43">
        <f>SUM(I6:I12)</f>
        <v>20226.03</v>
      </c>
      <c r="J13" s="43">
        <f>$AH$13/12</f>
        <v>28748.333333333332</v>
      </c>
      <c r="K13" s="43">
        <f>SUM(K6:K12)</f>
        <v>20861.03</v>
      </c>
      <c r="L13" s="43">
        <f>$AH$13/12</f>
        <v>28748.333333333332</v>
      </c>
      <c r="M13" s="43">
        <f>SUM(M6:M12)</f>
        <v>19996.03</v>
      </c>
      <c r="N13" s="43">
        <f>$AH$13/12</f>
        <v>28748.333333333332</v>
      </c>
      <c r="O13" s="43">
        <f>SUM(O6:O12)</f>
        <v>19376.03</v>
      </c>
      <c r="P13" s="43">
        <f>$AH$13/12</f>
        <v>28748.333333333332</v>
      </c>
      <c r="Q13" s="43">
        <f>SUM(Q6:Q12)</f>
        <v>0</v>
      </c>
      <c r="R13" s="43">
        <f>$AH$13/12</f>
        <v>28748.333333333332</v>
      </c>
      <c r="S13" s="43">
        <f>SUM(S6:S12)</f>
        <v>0</v>
      </c>
      <c r="T13" s="43">
        <f>$AH$13/12</f>
        <v>28748.333333333332</v>
      </c>
      <c r="U13" s="43">
        <f>SUM(U6:U12)</f>
        <v>0</v>
      </c>
      <c r="V13" s="43">
        <f>$AH$13/12</f>
        <v>28748.333333333332</v>
      </c>
      <c r="W13" s="43">
        <f>SUM(W6:W12)</f>
        <v>0</v>
      </c>
      <c r="X13" s="43">
        <f>$AH$13/12</f>
        <v>28748.333333333332</v>
      </c>
      <c r="Y13" s="43">
        <f>SUM(Y6:Y12)</f>
        <v>0</v>
      </c>
      <c r="Z13" s="43">
        <f>$AH$13/12</f>
        <v>28748.333333333332</v>
      </c>
      <c r="AA13" s="43">
        <f>SUM(AA6:AA12)</f>
        <v>0</v>
      </c>
      <c r="AB13" s="43">
        <f>$AH$13/12</f>
        <v>28748.333333333332</v>
      </c>
      <c r="AC13" s="43">
        <f>SUM(AC6:AC12)</f>
        <v>0</v>
      </c>
      <c r="AD13" s="43">
        <f>$AH$13/12</f>
        <v>28748.333333333332</v>
      </c>
      <c r="AE13" s="43">
        <f t="shared" si="0"/>
        <v>100375.15</v>
      </c>
      <c r="AF13" s="44">
        <f t="shared" si="1"/>
        <v>143741.66666666666</v>
      </c>
      <c r="AG13" s="45">
        <f t="shared" si="2"/>
        <v>-43366.516666666663</v>
      </c>
      <c r="AH13" s="47">
        <v>344980</v>
      </c>
      <c r="AI13" s="46">
        <f>SUM(AI6:AI12)</f>
        <v>495697.26999999996</v>
      </c>
      <c r="AJ13" s="47">
        <f>SUM(AJ6:AJ12)</f>
        <v>263010</v>
      </c>
      <c r="AL13" s="16">
        <f>61000*4</f>
        <v>244000</v>
      </c>
      <c r="AM13" s="16"/>
      <c r="AN13" s="17">
        <f>AN6</f>
        <v>2619</v>
      </c>
      <c r="AO13" s="4"/>
    </row>
    <row r="14" spans="1:43" ht="17.399999999999999" x14ac:dyDescent="0.3">
      <c r="A14" s="31"/>
      <c r="B14" s="31"/>
      <c r="C14" s="31"/>
      <c r="D14" s="31" t="s">
        <v>25</v>
      </c>
      <c r="E14" s="31"/>
      <c r="F14" s="31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40"/>
      <c r="AH14" s="41"/>
      <c r="AI14" s="41"/>
      <c r="AJ14" s="41"/>
      <c r="AL14" s="16"/>
      <c r="AM14" s="16"/>
      <c r="AN14" s="17">
        <f>AN8</f>
        <v>2619</v>
      </c>
      <c r="AO14" s="4"/>
    </row>
    <row r="15" spans="1:43" ht="17.399999999999999" x14ac:dyDescent="0.3">
      <c r="A15" s="31"/>
      <c r="B15" s="31"/>
      <c r="C15" s="31"/>
      <c r="D15" s="31"/>
      <c r="E15" s="31" t="s">
        <v>26</v>
      </c>
      <c r="F15" s="31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40"/>
      <c r="AH15" s="41"/>
      <c r="AI15" s="41"/>
      <c r="AJ15" s="41"/>
      <c r="AL15" s="16">
        <f>AN9/AJ6</f>
        <v>8.1960959979969442E-3</v>
      </c>
      <c r="AM15" s="16"/>
      <c r="AN15" s="17">
        <f>AN9</f>
        <v>2095</v>
      </c>
      <c r="AO15" s="4"/>
      <c r="AP15" s="2"/>
    </row>
    <row r="16" spans="1:43" s="2" customFormat="1" ht="17.399999999999999" x14ac:dyDescent="0.3">
      <c r="A16" s="31"/>
      <c r="B16" s="31"/>
      <c r="C16" s="31"/>
      <c r="D16" s="31"/>
      <c r="E16" s="31"/>
      <c r="F16" s="31" t="s">
        <v>27</v>
      </c>
      <c r="G16" s="39">
        <v>2666.67</v>
      </c>
      <c r="H16" s="37">
        <f>$AH$16/12</f>
        <v>3750</v>
      </c>
      <c r="I16" s="39">
        <v>2666.67</v>
      </c>
      <c r="J16" s="37">
        <f>$AH$16/12</f>
        <v>3750</v>
      </c>
      <c r="K16" s="39">
        <v>2666.67</v>
      </c>
      <c r="L16" s="37">
        <f>$AH$16/12</f>
        <v>3750</v>
      </c>
      <c r="M16" s="39">
        <v>2716.87</v>
      </c>
      <c r="N16" s="37">
        <f>$AH$16/12</f>
        <v>3750</v>
      </c>
      <c r="O16" s="39">
        <v>2716.87</v>
      </c>
      <c r="P16" s="37">
        <f>$AH$16/12</f>
        <v>3750</v>
      </c>
      <c r="Q16" s="39"/>
      <c r="R16" s="37">
        <f>$AH$16/12</f>
        <v>3750</v>
      </c>
      <c r="S16" s="39"/>
      <c r="T16" s="37">
        <f>$AH$16/12</f>
        <v>3750</v>
      </c>
      <c r="U16" s="39"/>
      <c r="V16" s="37">
        <f>$AH$16/12</f>
        <v>3750</v>
      </c>
      <c r="W16" s="39"/>
      <c r="X16" s="37">
        <f>$AH$16/12</f>
        <v>3750</v>
      </c>
      <c r="Y16" s="39"/>
      <c r="Z16" s="37">
        <f>$AH$16/12</f>
        <v>3750</v>
      </c>
      <c r="AA16" s="39"/>
      <c r="AB16" s="37">
        <f>$AH$16/12</f>
        <v>3750</v>
      </c>
      <c r="AC16" s="39"/>
      <c r="AD16" s="37">
        <f>$AH$16/12</f>
        <v>3750</v>
      </c>
      <c r="AE16" s="37">
        <f t="shared" ref="AE16:AE25" si="3">G16+I16+K16+M16+O16+Q16+S16+U16+W16+Y16+AA16+AC16</f>
        <v>13433.75</v>
      </c>
      <c r="AF16" s="37">
        <f t="shared" ref="AF16:AF25" si="4">(AH16/12)*$AF$2</f>
        <v>18750</v>
      </c>
      <c r="AG16" s="40">
        <f t="shared" ref="AG16:AG25" si="5">AE16-AF16</f>
        <v>-5316.25</v>
      </c>
      <c r="AH16" s="41">
        <v>45000</v>
      </c>
      <c r="AI16" s="41">
        <v>48000</v>
      </c>
      <c r="AJ16" s="41">
        <v>55000</v>
      </c>
      <c r="AM16" s="2">
        <f>AJ13-AJ12</f>
        <v>257010</v>
      </c>
      <c r="AO16" s="4"/>
    </row>
    <row r="17" spans="1:42" s="2" customFormat="1" ht="17.399999999999999" x14ac:dyDescent="0.3">
      <c r="A17" s="31"/>
      <c r="B17" s="31"/>
      <c r="C17" s="31"/>
      <c r="D17" s="31"/>
      <c r="E17" s="31"/>
      <c r="F17" s="31" t="s">
        <v>67</v>
      </c>
      <c r="G17" s="39"/>
      <c r="H17" s="37"/>
      <c r="I17" s="39"/>
      <c r="J17" s="37"/>
      <c r="K17" s="39"/>
      <c r="L17" s="37"/>
      <c r="M17" s="39"/>
      <c r="N17" s="37"/>
      <c r="O17" s="39"/>
      <c r="P17" s="37"/>
      <c r="Q17" s="39"/>
      <c r="R17" s="37"/>
      <c r="S17" s="39"/>
      <c r="T17" s="37"/>
      <c r="U17" s="39"/>
      <c r="V17" s="37"/>
      <c r="W17" s="39"/>
      <c r="X17" s="37"/>
      <c r="Y17" s="39"/>
      <c r="Z17" s="37"/>
      <c r="AA17" s="39"/>
      <c r="AB17" s="37"/>
      <c r="AC17" s="39"/>
      <c r="AD17" s="37"/>
      <c r="AE17" s="37"/>
      <c r="AF17" s="37"/>
      <c r="AG17" s="40"/>
      <c r="AH17" s="41">
        <v>1500</v>
      </c>
      <c r="AI17" s="41">
        <v>0</v>
      </c>
      <c r="AJ17" s="41">
        <v>1500</v>
      </c>
      <c r="AL17" s="77" t="s">
        <v>95</v>
      </c>
      <c r="AM17" s="77"/>
      <c r="AN17" s="77"/>
      <c r="AO17" s="77"/>
      <c r="AP17" s="77"/>
    </row>
    <row r="18" spans="1:42" s="2" customFormat="1" ht="17.399999999999999" x14ac:dyDescent="0.3">
      <c r="A18" s="31"/>
      <c r="B18" s="31"/>
      <c r="C18" s="31"/>
      <c r="D18" s="31"/>
      <c r="E18" s="31"/>
      <c r="F18" s="31" t="s">
        <v>28</v>
      </c>
      <c r="G18" s="39">
        <v>0</v>
      </c>
      <c r="H18" s="37">
        <f>$AH$18/12</f>
        <v>41.666666666666664</v>
      </c>
      <c r="I18" s="39">
        <v>150</v>
      </c>
      <c r="J18" s="37">
        <f>$AH$18/12</f>
        <v>41.666666666666664</v>
      </c>
      <c r="K18" s="39">
        <v>0</v>
      </c>
      <c r="L18" s="37">
        <f>$AH$18/12</f>
        <v>41.666666666666664</v>
      </c>
      <c r="M18" s="39">
        <v>0</v>
      </c>
      <c r="N18" s="37">
        <f>$AH$18/12</f>
        <v>41.666666666666664</v>
      </c>
      <c r="O18" s="39">
        <v>0</v>
      </c>
      <c r="P18" s="37">
        <f>$AH$18/12</f>
        <v>41.666666666666664</v>
      </c>
      <c r="Q18" s="39"/>
      <c r="R18" s="37">
        <f>$AH$18/12</f>
        <v>41.666666666666664</v>
      </c>
      <c r="S18" s="39"/>
      <c r="T18" s="37">
        <f>$AH$18/12</f>
        <v>41.666666666666664</v>
      </c>
      <c r="U18" s="39"/>
      <c r="V18" s="37">
        <f>$AH$18/12</f>
        <v>41.666666666666664</v>
      </c>
      <c r="W18" s="39"/>
      <c r="X18" s="37">
        <f>$AH$18/12</f>
        <v>41.666666666666664</v>
      </c>
      <c r="Y18" s="39"/>
      <c r="Z18" s="37">
        <f>$AH$18/12</f>
        <v>41.666666666666664</v>
      </c>
      <c r="AA18" s="39"/>
      <c r="AB18" s="37">
        <f>$AH$18/12</f>
        <v>41.666666666666664</v>
      </c>
      <c r="AC18" s="39"/>
      <c r="AD18" s="37">
        <f>$AH$18/12</f>
        <v>41.666666666666664</v>
      </c>
      <c r="AE18" s="37">
        <f t="shared" si="3"/>
        <v>150</v>
      </c>
      <c r="AF18" s="37">
        <f t="shared" si="4"/>
        <v>208.33333333333331</v>
      </c>
      <c r="AG18" s="40">
        <f t="shared" si="5"/>
        <v>-58.333333333333314</v>
      </c>
      <c r="AH18" s="41">
        <v>500</v>
      </c>
      <c r="AI18" s="41">
        <v>150</v>
      </c>
      <c r="AJ18" s="41">
        <v>200</v>
      </c>
      <c r="AL18" s="5" t="s">
        <v>72</v>
      </c>
      <c r="AM18" s="5" t="s">
        <v>92</v>
      </c>
      <c r="AN18" s="6" t="s">
        <v>73</v>
      </c>
      <c r="AO18" s="6" t="s">
        <v>91</v>
      </c>
      <c r="AP18" s="6" t="s">
        <v>74</v>
      </c>
    </row>
    <row r="19" spans="1:42" s="2" customFormat="1" ht="17.399999999999999" x14ac:dyDescent="0.3">
      <c r="A19" s="31"/>
      <c r="B19" s="31"/>
      <c r="C19" s="31"/>
      <c r="D19" s="31"/>
      <c r="E19" s="31"/>
      <c r="F19" s="31" t="s">
        <v>29</v>
      </c>
      <c r="G19" s="39">
        <v>0</v>
      </c>
      <c r="H19" s="37">
        <f>$AH$19/12</f>
        <v>12.5</v>
      </c>
      <c r="I19" s="39">
        <v>0</v>
      </c>
      <c r="J19" s="37">
        <f>$AH$19/12</f>
        <v>12.5</v>
      </c>
      <c r="K19" s="39">
        <v>0</v>
      </c>
      <c r="L19" s="37">
        <f>$AH$19/12</f>
        <v>12.5</v>
      </c>
      <c r="M19" s="39">
        <v>0</v>
      </c>
      <c r="N19" s="37">
        <f>$AH$19/12</f>
        <v>12.5</v>
      </c>
      <c r="O19" s="39">
        <v>0</v>
      </c>
      <c r="P19" s="37">
        <f>$AH$19/12</f>
        <v>12.5</v>
      </c>
      <c r="Q19" s="39"/>
      <c r="R19" s="37">
        <f>$AH$19/12</f>
        <v>12.5</v>
      </c>
      <c r="S19" s="39"/>
      <c r="T19" s="37">
        <f>$AH$19/12</f>
        <v>12.5</v>
      </c>
      <c r="U19" s="39"/>
      <c r="V19" s="37">
        <f>$AH$19/12</f>
        <v>12.5</v>
      </c>
      <c r="W19" s="39"/>
      <c r="X19" s="37">
        <f>$AH$19/12</f>
        <v>12.5</v>
      </c>
      <c r="Y19" s="39"/>
      <c r="Z19" s="37">
        <f>$AH$19/12</f>
        <v>12.5</v>
      </c>
      <c r="AA19" s="39"/>
      <c r="AB19" s="37">
        <f>$AH$19/12</f>
        <v>12.5</v>
      </c>
      <c r="AC19" s="39"/>
      <c r="AD19" s="37">
        <f>$AH$19/12</f>
        <v>12.5</v>
      </c>
      <c r="AE19" s="37">
        <f t="shared" si="3"/>
        <v>0</v>
      </c>
      <c r="AF19" s="37">
        <f t="shared" si="4"/>
        <v>62.5</v>
      </c>
      <c r="AG19" s="40">
        <f t="shared" si="5"/>
        <v>-62.5</v>
      </c>
      <c r="AH19" s="41">
        <v>150</v>
      </c>
      <c r="AI19" s="41">
        <v>150</v>
      </c>
      <c r="AJ19" s="41">
        <v>150</v>
      </c>
      <c r="AL19" s="5" t="s">
        <v>90</v>
      </c>
      <c r="AM19" s="22">
        <f>AP35</f>
        <v>4.4999999999999998E-2</v>
      </c>
      <c r="AN19" s="7">
        <f>AJ6*AM19/4</f>
        <v>2875.6068749999999</v>
      </c>
      <c r="AO19" s="7">
        <v>375</v>
      </c>
      <c r="AP19" s="7">
        <f>AN19*4*4</f>
        <v>46009.71</v>
      </c>
    </row>
    <row r="20" spans="1:42" s="2" customFormat="1" ht="17.399999999999999" x14ac:dyDescent="0.3">
      <c r="A20" s="31"/>
      <c r="B20" s="31"/>
      <c r="C20" s="31"/>
      <c r="D20" s="31"/>
      <c r="E20" s="31"/>
      <c r="F20" s="31" t="s">
        <v>70</v>
      </c>
      <c r="G20" s="39"/>
      <c r="H20" s="37"/>
      <c r="I20" s="39"/>
      <c r="J20" s="37"/>
      <c r="K20" s="39"/>
      <c r="L20" s="37"/>
      <c r="M20" s="39"/>
      <c r="N20" s="37"/>
      <c r="O20" s="39"/>
      <c r="P20" s="37"/>
      <c r="Q20" s="39"/>
      <c r="R20" s="37"/>
      <c r="S20" s="39"/>
      <c r="T20" s="37"/>
      <c r="U20" s="39"/>
      <c r="V20" s="37"/>
      <c r="W20" s="39"/>
      <c r="X20" s="37"/>
      <c r="Y20" s="39"/>
      <c r="Z20" s="37"/>
      <c r="AA20" s="39"/>
      <c r="AB20" s="37"/>
      <c r="AC20" s="39"/>
      <c r="AD20" s="37"/>
      <c r="AE20" s="37"/>
      <c r="AF20" s="37"/>
      <c r="AG20" s="40"/>
      <c r="AH20" s="41">
        <v>4800</v>
      </c>
      <c r="AI20" s="41">
        <v>4800</v>
      </c>
      <c r="AJ20" s="41">
        <f>4800</f>
        <v>4800</v>
      </c>
      <c r="AL20" s="5" t="s">
        <v>93</v>
      </c>
      <c r="AM20" s="22">
        <f>AP35</f>
        <v>4.4999999999999998E-2</v>
      </c>
      <c r="AN20" s="7">
        <f>AJ6*AM20/4</f>
        <v>2875.6068749999999</v>
      </c>
      <c r="AO20" s="7">
        <v>0</v>
      </c>
      <c r="AP20" s="7">
        <f>AN20*11*4</f>
        <v>126526.7025</v>
      </c>
    </row>
    <row r="21" spans="1:42" s="2" customFormat="1" ht="17.399999999999999" x14ac:dyDescent="0.3">
      <c r="A21" s="31"/>
      <c r="B21" s="31"/>
      <c r="C21" s="31"/>
      <c r="D21" s="31"/>
      <c r="E21" s="31"/>
      <c r="F21" s="31" t="s">
        <v>107</v>
      </c>
      <c r="G21" s="39"/>
      <c r="H21" s="37"/>
      <c r="I21" s="39"/>
      <c r="J21" s="37"/>
      <c r="K21" s="39"/>
      <c r="L21" s="37"/>
      <c r="M21" s="39"/>
      <c r="N21" s="37"/>
      <c r="O21" s="39"/>
      <c r="P21" s="37"/>
      <c r="Q21" s="39"/>
      <c r="R21" s="37"/>
      <c r="S21" s="39"/>
      <c r="T21" s="37"/>
      <c r="U21" s="39"/>
      <c r="V21" s="37"/>
      <c r="W21" s="39"/>
      <c r="X21" s="37"/>
      <c r="Y21" s="39"/>
      <c r="Z21" s="37"/>
      <c r="AA21" s="39"/>
      <c r="AB21" s="37"/>
      <c r="AC21" s="39"/>
      <c r="AD21" s="37"/>
      <c r="AE21" s="37"/>
      <c r="AF21" s="37"/>
      <c r="AG21" s="40"/>
      <c r="AH21" s="41">
        <v>0</v>
      </c>
      <c r="AI21" s="41">
        <v>0</v>
      </c>
      <c r="AJ21" s="41">
        <v>300</v>
      </c>
      <c r="AL21" s="5"/>
      <c r="AM21" s="22"/>
      <c r="AN21" s="7"/>
      <c r="AO21" s="7"/>
      <c r="AP21" s="7"/>
    </row>
    <row r="22" spans="1:42" s="2" customFormat="1" ht="18" thickBot="1" x14ac:dyDescent="0.35">
      <c r="A22" s="31"/>
      <c r="B22" s="31"/>
      <c r="C22" s="31"/>
      <c r="D22" s="31"/>
      <c r="E22" s="31"/>
      <c r="F22" s="31" t="s">
        <v>69</v>
      </c>
      <c r="G22" s="39"/>
      <c r="H22" s="37"/>
      <c r="I22" s="39"/>
      <c r="J22" s="37"/>
      <c r="K22" s="39"/>
      <c r="L22" s="37"/>
      <c r="M22" s="39"/>
      <c r="N22" s="37"/>
      <c r="O22" s="39"/>
      <c r="P22" s="37"/>
      <c r="Q22" s="39"/>
      <c r="R22" s="37"/>
      <c r="S22" s="39"/>
      <c r="T22" s="37"/>
      <c r="U22" s="39"/>
      <c r="V22" s="37"/>
      <c r="W22" s="39"/>
      <c r="X22" s="37"/>
      <c r="Y22" s="39"/>
      <c r="Z22" s="37"/>
      <c r="AA22" s="39"/>
      <c r="AB22" s="37"/>
      <c r="AC22" s="39"/>
      <c r="AD22" s="37"/>
      <c r="AE22" s="37"/>
      <c r="AF22" s="37"/>
      <c r="AG22" s="40"/>
      <c r="AH22" s="41">
        <v>200</v>
      </c>
      <c r="AI22" s="41">
        <v>200</v>
      </c>
      <c r="AJ22" s="41">
        <v>200</v>
      </c>
      <c r="AL22" s="5" t="s">
        <v>71</v>
      </c>
      <c r="AM22" s="61">
        <v>3.5999999999999997E-2</v>
      </c>
      <c r="AN22" s="7">
        <f>AJ6*AM22/4</f>
        <v>2300.4854999999998</v>
      </c>
      <c r="AO22" s="7">
        <v>0</v>
      </c>
      <c r="AP22" s="7">
        <f>AN22*4*9</f>
        <v>82817.477999999988</v>
      </c>
    </row>
    <row r="23" spans="1:42" s="2" customFormat="1" ht="17.399999999999999" x14ac:dyDescent="0.3">
      <c r="A23" s="31"/>
      <c r="B23" s="31"/>
      <c r="C23" s="31"/>
      <c r="D23" s="31"/>
      <c r="E23" s="31"/>
      <c r="F23" s="31" t="s">
        <v>30</v>
      </c>
      <c r="G23" s="39">
        <v>0</v>
      </c>
      <c r="H23" s="37">
        <f>$AH$23/12</f>
        <v>37.5</v>
      </c>
      <c r="I23" s="39">
        <v>0</v>
      </c>
      <c r="J23" s="37">
        <f>$AH$23/12</f>
        <v>37.5</v>
      </c>
      <c r="K23" s="39">
        <v>0</v>
      </c>
      <c r="L23" s="37">
        <f>$AH$23/12</f>
        <v>37.5</v>
      </c>
      <c r="M23" s="39">
        <v>0</v>
      </c>
      <c r="N23" s="37">
        <f>$AH$23/12</f>
        <v>37.5</v>
      </c>
      <c r="O23" s="39">
        <v>0</v>
      </c>
      <c r="P23" s="37">
        <f>$AH$23/12</f>
        <v>37.5</v>
      </c>
      <c r="Q23" s="39"/>
      <c r="R23" s="37">
        <f>$AH$23/12</f>
        <v>37.5</v>
      </c>
      <c r="S23" s="39"/>
      <c r="T23" s="37">
        <f>$AH$23/12</f>
        <v>37.5</v>
      </c>
      <c r="U23" s="39"/>
      <c r="V23" s="37">
        <f>$AH$23/12</f>
        <v>37.5</v>
      </c>
      <c r="W23" s="39"/>
      <c r="X23" s="37">
        <f>$AH$23/12</f>
        <v>37.5</v>
      </c>
      <c r="Y23" s="39"/>
      <c r="Z23" s="37">
        <f>$AH$23/12</f>
        <v>37.5</v>
      </c>
      <c r="AA23" s="39"/>
      <c r="AB23" s="37">
        <f>$AH$23/12</f>
        <v>37.5</v>
      </c>
      <c r="AC23" s="39"/>
      <c r="AD23" s="37">
        <f>$AH$23/12</f>
        <v>37.5</v>
      </c>
      <c r="AE23" s="37">
        <f t="shared" si="3"/>
        <v>0</v>
      </c>
      <c r="AF23" s="37">
        <f t="shared" si="4"/>
        <v>187.5</v>
      </c>
      <c r="AG23" s="40">
        <f t="shared" si="5"/>
        <v>-187.5</v>
      </c>
      <c r="AH23" s="41">
        <v>450</v>
      </c>
      <c r="AI23" s="41">
        <v>600</v>
      </c>
      <c r="AJ23" s="41">
        <v>600</v>
      </c>
      <c r="AL23" s="75" t="s">
        <v>75</v>
      </c>
      <c r="AM23" s="75"/>
      <c r="AN23" s="75"/>
      <c r="AO23" s="5"/>
      <c r="AP23" s="7">
        <f>SUM(AP19:AP22)</f>
        <v>255353.89049999998</v>
      </c>
    </row>
    <row r="24" spans="1:42" s="2" customFormat="1" ht="18" thickBot="1" x14ac:dyDescent="0.35">
      <c r="A24" s="31"/>
      <c r="B24" s="31"/>
      <c r="C24" s="31"/>
      <c r="D24" s="31"/>
      <c r="E24" s="31"/>
      <c r="F24" s="31" t="s">
        <v>31</v>
      </c>
      <c r="G24" s="48">
        <v>420</v>
      </c>
      <c r="H24" s="44">
        <f>$AH$24/12</f>
        <v>62.5</v>
      </c>
      <c r="I24" s="48">
        <v>25</v>
      </c>
      <c r="J24" s="44">
        <f>$AH$24/12</f>
        <v>62.5</v>
      </c>
      <c r="K24" s="48">
        <v>949.5</v>
      </c>
      <c r="L24" s="44">
        <f>$AH$24/12</f>
        <v>62.5</v>
      </c>
      <c r="M24" s="48">
        <v>845</v>
      </c>
      <c r="N24" s="44">
        <f>$AH$24/12</f>
        <v>62.5</v>
      </c>
      <c r="O24" s="48">
        <v>420</v>
      </c>
      <c r="P24" s="44">
        <f>$AH$24/12</f>
        <v>62.5</v>
      </c>
      <c r="Q24" s="48"/>
      <c r="R24" s="44">
        <f>$AH$24/12</f>
        <v>62.5</v>
      </c>
      <c r="S24" s="48"/>
      <c r="T24" s="44">
        <f>$AH$24/12</f>
        <v>62.5</v>
      </c>
      <c r="U24" s="48"/>
      <c r="V24" s="44">
        <f>$AH$24/12</f>
        <v>62.5</v>
      </c>
      <c r="W24" s="48"/>
      <c r="X24" s="44">
        <f>$AH$24/12</f>
        <v>62.5</v>
      </c>
      <c r="Y24" s="48"/>
      <c r="Z24" s="44">
        <f>$AH$24/12</f>
        <v>62.5</v>
      </c>
      <c r="AA24" s="48"/>
      <c r="AB24" s="44">
        <f>$AH$24/12</f>
        <v>62.5</v>
      </c>
      <c r="AC24" s="48"/>
      <c r="AD24" s="44">
        <f>$AH$24/12</f>
        <v>62.5</v>
      </c>
      <c r="AE24" s="44">
        <f t="shared" si="3"/>
        <v>2659.5</v>
      </c>
      <c r="AF24" s="44">
        <f t="shared" si="4"/>
        <v>312.5</v>
      </c>
      <c r="AG24" s="49">
        <f t="shared" si="5"/>
        <v>2347</v>
      </c>
      <c r="AH24" s="42">
        <v>750</v>
      </c>
      <c r="AI24" s="42">
        <v>525</v>
      </c>
      <c r="AJ24" s="42">
        <v>600</v>
      </c>
    </row>
    <row r="25" spans="1:42" s="2" customFormat="1" ht="17.399999999999999" x14ac:dyDescent="0.3">
      <c r="A25" s="31"/>
      <c r="B25" s="31"/>
      <c r="C25" s="31"/>
      <c r="D25" s="31"/>
      <c r="E25" s="31" t="s">
        <v>32</v>
      </c>
      <c r="F25" s="31"/>
      <c r="G25" s="37">
        <f>SUM(G16:G24)</f>
        <v>3086.67</v>
      </c>
      <c r="H25" s="37">
        <f>AH25/12</f>
        <v>4445.833333333333</v>
      </c>
      <c r="I25" s="37">
        <f>SUM(I16:I24)</f>
        <v>2841.67</v>
      </c>
      <c r="J25" s="37">
        <f>AJ25/12</f>
        <v>5279.166666666667</v>
      </c>
      <c r="K25" s="37">
        <f>SUM(K16:K24)</f>
        <v>3616.17</v>
      </c>
      <c r="L25" s="37" t="e">
        <f>AL23/12</f>
        <v>#VALUE!</v>
      </c>
      <c r="M25" s="37">
        <f>SUM(M16:M24)</f>
        <v>3561.87</v>
      </c>
      <c r="N25" s="37">
        <f>AP24/12</f>
        <v>0</v>
      </c>
      <c r="O25" s="37">
        <f>SUM(O16:O24)</f>
        <v>3136.87</v>
      </c>
      <c r="P25" s="37">
        <f>AR25/12</f>
        <v>0</v>
      </c>
      <c r="Q25" s="37">
        <f>SUM(Q16:Q24)</f>
        <v>0</v>
      </c>
      <c r="R25" s="37">
        <f>AT25/12</f>
        <v>0</v>
      </c>
      <c r="S25" s="37">
        <f>SUM(S16:S24)</f>
        <v>0</v>
      </c>
      <c r="T25" s="37">
        <f>AV25/12</f>
        <v>0</v>
      </c>
      <c r="U25" s="37">
        <f>SUM(U16:U24)</f>
        <v>0</v>
      </c>
      <c r="V25" s="37">
        <f>AX25/12</f>
        <v>0</v>
      </c>
      <c r="W25" s="37">
        <f>SUM(W16:W24)</f>
        <v>0</v>
      </c>
      <c r="X25" s="37">
        <f>AZ25/12</f>
        <v>0</v>
      </c>
      <c r="Y25" s="37">
        <f>SUM(Y16:Y24)</f>
        <v>0</v>
      </c>
      <c r="Z25" s="37">
        <f>BB25/12</f>
        <v>0</v>
      </c>
      <c r="AA25" s="37">
        <f>SUM(AA16:AA24)</f>
        <v>0</v>
      </c>
      <c r="AB25" s="37">
        <f>BD25/12</f>
        <v>0</v>
      </c>
      <c r="AC25" s="37">
        <f>SUM(AC16:AC24)</f>
        <v>0</v>
      </c>
      <c r="AD25" s="37">
        <f>BF25/12</f>
        <v>0</v>
      </c>
      <c r="AE25" s="37">
        <f t="shared" si="3"/>
        <v>16243.25</v>
      </c>
      <c r="AF25" s="37">
        <f t="shared" si="4"/>
        <v>22229.166666666664</v>
      </c>
      <c r="AG25" s="40">
        <f t="shared" si="5"/>
        <v>-5985.9166666666642</v>
      </c>
      <c r="AH25" s="50">
        <v>53350</v>
      </c>
      <c r="AI25" s="50">
        <f>SUM(AI16:AI24)</f>
        <v>54425</v>
      </c>
      <c r="AJ25" s="50">
        <f>SUM(AJ16:AJ24)</f>
        <v>63350</v>
      </c>
      <c r="AM25" s="19">
        <v>8.5447600000000002E-3</v>
      </c>
    </row>
    <row r="26" spans="1:42" s="2" customFormat="1" ht="17.399999999999999" x14ac:dyDescent="0.3">
      <c r="A26" s="31"/>
      <c r="B26" s="31"/>
      <c r="C26" s="31"/>
      <c r="D26" s="31"/>
      <c r="E26" s="31" t="s">
        <v>33</v>
      </c>
      <c r="F26" s="31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40"/>
      <c r="AH26" s="41"/>
      <c r="AI26" s="41"/>
      <c r="AJ26" s="41"/>
    </row>
    <row r="27" spans="1:42" s="2" customFormat="1" ht="17.399999999999999" x14ac:dyDescent="0.3">
      <c r="A27" s="31"/>
      <c r="B27" s="31"/>
      <c r="C27" s="31"/>
      <c r="D27" s="31"/>
      <c r="E27" s="31"/>
      <c r="F27" s="31" t="s">
        <v>34</v>
      </c>
      <c r="G27" s="39">
        <v>0</v>
      </c>
      <c r="H27" s="37">
        <f>$AH$27/12</f>
        <v>16.666666666666668</v>
      </c>
      <c r="I27" s="39">
        <v>0</v>
      </c>
      <c r="J27" s="37">
        <f>$AH$27/12</f>
        <v>16.666666666666668</v>
      </c>
      <c r="K27" s="39">
        <v>-600</v>
      </c>
      <c r="L27" s="37">
        <f>$AH$27/12</f>
        <v>16.666666666666668</v>
      </c>
      <c r="M27" s="39">
        <v>0</v>
      </c>
      <c r="N27" s="37">
        <f>$AH$27/12</f>
        <v>16.666666666666668</v>
      </c>
      <c r="O27" s="39">
        <v>0</v>
      </c>
      <c r="P27" s="37">
        <f>$AH$27/12</f>
        <v>16.666666666666668</v>
      </c>
      <c r="Q27" s="39"/>
      <c r="R27" s="37">
        <f>$AH$27/12</f>
        <v>16.666666666666668</v>
      </c>
      <c r="S27" s="39"/>
      <c r="T27" s="37">
        <f>$AH$27/12</f>
        <v>16.666666666666668</v>
      </c>
      <c r="U27" s="39"/>
      <c r="V27" s="37">
        <f>$AH$27/12</f>
        <v>16.666666666666668</v>
      </c>
      <c r="W27" s="39"/>
      <c r="X27" s="37">
        <f>$AH$27/12</f>
        <v>16.666666666666668</v>
      </c>
      <c r="Y27" s="39"/>
      <c r="Z27" s="37">
        <f>$AH$27/12</f>
        <v>16.666666666666668</v>
      </c>
      <c r="AA27" s="39"/>
      <c r="AB27" s="37">
        <f>$AH$27/12</f>
        <v>16.666666666666668</v>
      </c>
      <c r="AC27" s="39"/>
      <c r="AD27" s="37">
        <f>$AH$27/12</f>
        <v>16.666666666666668</v>
      </c>
      <c r="AE27" s="37">
        <f t="shared" ref="AE27:AE38" si="6">G27+I27+K27+M27+O27+Q27+S27+U27+W27+Y27+AA27+AC27</f>
        <v>-600</v>
      </c>
      <c r="AF27" s="37">
        <f t="shared" ref="AF27:AF38" si="7">(AH27/12)*$AF$2</f>
        <v>83.333333333333343</v>
      </c>
      <c r="AG27" s="40">
        <f t="shared" ref="AG27:AG38" si="8">AE27-AF27</f>
        <v>-683.33333333333337</v>
      </c>
      <c r="AH27" s="41">
        <v>200</v>
      </c>
      <c r="AI27" s="41">
        <v>0</v>
      </c>
      <c r="AJ27" s="41">
        <v>200</v>
      </c>
      <c r="AL27" s="18"/>
    </row>
    <row r="28" spans="1:42" s="2" customFormat="1" ht="17.399999999999999" x14ac:dyDescent="0.3">
      <c r="A28" s="31"/>
      <c r="B28" s="31"/>
      <c r="C28" s="31"/>
      <c r="D28" s="31"/>
      <c r="E28" s="31"/>
      <c r="F28" s="31" t="s">
        <v>35</v>
      </c>
      <c r="G28" s="39">
        <v>399</v>
      </c>
      <c r="H28" s="37">
        <f>$AH$28/12</f>
        <v>416.66666666666669</v>
      </c>
      <c r="I28" s="39">
        <v>399</v>
      </c>
      <c r="J28" s="37">
        <f>$AH$28/12</f>
        <v>416.66666666666669</v>
      </c>
      <c r="K28" s="39">
        <v>1530.3</v>
      </c>
      <c r="L28" s="37">
        <f>$AH$28/12</f>
        <v>416.66666666666669</v>
      </c>
      <c r="M28" s="39">
        <v>399</v>
      </c>
      <c r="N28" s="37">
        <f>$AH$28/12</f>
        <v>416.66666666666669</v>
      </c>
      <c r="O28" s="39">
        <v>399</v>
      </c>
      <c r="P28" s="37">
        <f>$AH$28/12</f>
        <v>416.66666666666669</v>
      </c>
      <c r="Q28" s="39"/>
      <c r="R28" s="37">
        <f>$AH$28/12</f>
        <v>416.66666666666669</v>
      </c>
      <c r="S28" s="39"/>
      <c r="T28" s="37">
        <f>$AH$28/12</f>
        <v>416.66666666666669</v>
      </c>
      <c r="U28" s="39"/>
      <c r="V28" s="37">
        <f>$AH$28/12</f>
        <v>416.66666666666669</v>
      </c>
      <c r="W28" s="39"/>
      <c r="X28" s="37">
        <f>$AH$28/12</f>
        <v>416.66666666666669</v>
      </c>
      <c r="Y28" s="39"/>
      <c r="Z28" s="37">
        <f>$AH$28/12</f>
        <v>416.66666666666669</v>
      </c>
      <c r="AA28" s="39"/>
      <c r="AB28" s="37">
        <f>$AH$28/12</f>
        <v>416.66666666666669</v>
      </c>
      <c r="AC28" s="39"/>
      <c r="AD28" s="37">
        <f>$AH$28/12</f>
        <v>416.66666666666669</v>
      </c>
      <c r="AE28" s="37">
        <f t="shared" si="6"/>
        <v>3126.3</v>
      </c>
      <c r="AF28" s="37">
        <f t="shared" si="7"/>
        <v>2083.3333333333335</v>
      </c>
      <c r="AG28" s="40">
        <f t="shared" si="8"/>
        <v>1042.9666666666667</v>
      </c>
      <c r="AH28" s="41">
        <v>5000</v>
      </c>
      <c r="AI28" s="41">
        <v>1500</v>
      </c>
      <c r="AJ28" s="41">
        <v>2500</v>
      </c>
      <c r="AL28" s="18">
        <f>AJ6</f>
        <v>255609.5</v>
      </c>
      <c r="AN28" s="2">
        <f>250000*AM19</f>
        <v>11250</v>
      </c>
    </row>
    <row r="29" spans="1:42" s="2" customFormat="1" ht="17.399999999999999" x14ac:dyDescent="0.3">
      <c r="A29" s="31"/>
      <c r="B29" s="31"/>
      <c r="C29" s="31"/>
      <c r="D29" s="31"/>
      <c r="E29" s="31"/>
      <c r="F29" s="31" t="s">
        <v>36</v>
      </c>
      <c r="G29" s="39">
        <v>302.14999999999998</v>
      </c>
      <c r="H29" s="37">
        <f>$AH$29/12</f>
        <v>341.66666666666669</v>
      </c>
      <c r="I29" s="39">
        <v>305.14999999999998</v>
      </c>
      <c r="J29" s="37">
        <f>$AH$29/12</f>
        <v>341.66666666666669</v>
      </c>
      <c r="K29" s="39">
        <v>312.8</v>
      </c>
      <c r="L29" s="37">
        <f>$AH$29/12</f>
        <v>341.66666666666669</v>
      </c>
      <c r="M29" s="39">
        <v>312.8</v>
      </c>
      <c r="N29" s="37">
        <f>$AH$29/12</f>
        <v>341.66666666666669</v>
      </c>
      <c r="O29" s="39">
        <v>342.8</v>
      </c>
      <c r="P29" s="37">
        <f>$AH$29/12</f>
        <v>341.66666666666669</v>
      </c>
      <c r="Q29" s="39"/>
      <c r="R29" s="37">
        <f>$AH$29/12</f>
        <v>341.66666666666669</v>
      </c>
      <c r="S29" s="39"/>
      <c r="T29" s="37">
        <f>$AH$29/12</f>
        <v>341.66666666666669</v>
      </c>
      <c r="U29" s="39"/>
      <c r="V29" s="37">
        <f>$AH$29/12</f>
        <v>341.66666666666669</v>
      </c>
      <c r="W29" s="39"/>
      <c r="X29" s="37">
        <f>$AH$29/12</f>
        <v>341.66666666666669</v>
      </c>
      <c r="Y29" s="39"/>
      <c r="Z29" s="37">
        <f>$AH$29/12</f>
        <v>341.66666666666669</v>
      </c>
      <c r="AA29" s="39"/>
      <c r="AB29" s="37">
        <f>$AH$29/12</f>
        <v>341.66666666666669</v>
      </c>
      <c r="AC29" s="39"/>
      <c r="AD29" s="37">
        <f>$AH$29/12</f>
        <v>341.66666666666669</v>
      </c>
      <c r="AE29" s="37">
        <f t="shared" si="6"/>
        <v>1575.6999999999998</v>
      </c>
      <c r="AF29" s="37">
        <f t="shared" si="7"/>
        <v>1708.3333333333335</v>
      </c>
      <c r="AG29" s="40">
        <f t="shared" si="8"/>
        <v>-132.63333333333367</v>
      </c>
      <c r="AH29" s="41">
        <v>4100</v>
      </c>
      <c r="AI29" s="41">
        <f>3760+1200</f>
        <v>4960</v>
      </c>
      <c r="AJ29" s="41">
        <v>5000</v>
      </c>
      <c r="AM29" s="2">
        <v>1.25</v>
      </c>
    </row>
    <row r="30" spans="1:42" s="2" customFormat="1" ht="17.399999999999999" x14ac:dyDescent="0.3">
      <c r="A30" s="31"/>
      <c r="B30" s="31"/>
      <c r="C30" s="31"/>
      <c r="D30" s="31"/>
      <c r="E30" s="31"/>
      <c r="F30" s="31" t="s">
        <v>63</v>
      </c>
      <c r="G30" s="39"/>
      <c r="H30" s="37"/>
      <c r="I30" s="39"/>
      <c r="J30" s="37"/>
      <c r="K30" s="39"/>
      <c r="L30" s="37"/>
      <c r="M30" s="39"/>
      <c r="N30" s="37"/>
      <c r="O30" s="39"/>
      <c r="P30" s="37"/>
      <c r="Q30" s="39"/>
      <c r="R30" s="37"/>
      <c r="S30" s="39"/>
      <c r="T30" s="37"/>
      <c r="U30" s="39"/>
      <c r="V30" s="37"/>
      <c r="W30" s="39"/>
      <c r="X30" s="37"/>
      <c r="Y30" s="39"/>
      <c r="Z30" s="37"/>
      <c r="AA30" s="39"/>
      <c r="AB30" s="37"/>
      <c r="AC30" s="39"/>
      <c r="AD30" s="37"/>
      <c r="AE30" s="37"/>
      <c r="AF30" s="37">
        <f t="shared" si="7"/>
        <v>0</v>
      </c>
      <c r="AG30" s="40"/>
      <c r="AH30" s="41">
        <v>0</v>
      </c>
      <c r="AI30" s="41">
        <v>700</v>
      </c>
      <c r="AJ30" s="65">
        <v>6000</v>
      </c>
      <c r="AM30" s="2">
        <v>1</v>
      </c>
    </row>
    <row r="31" spans="1:42" s="2" customFormat="1" ht="17.399999999999999" x14ac:dyDescent="0.3">
      <c r="A31" s="31"/>
      <c r="B31" s="31"/>
      <c r="C31" s="31"/>
      <c r="D31" s="31"/>
      <c r="E31" s="31"/>
      <c r="F31" s="31" t="s">
        <v>64</v>
      </c>
      <c r="G31" s="39"/>
      <c r="H31" s="37"/>
      <c r="I31" s="39"/>
      <c r="J31" s="37"/>
      <c r="K31" s="39"/>
      <c r="L31" s="37"/>
      <c r="M31" s="39"/>
      <c r="N31" s="37"/>
      <c r="O31" s="39"/>
      <c r="P31" s="37"/>
      <c r="Q31" s="39"/>
      <c r="R31" s="37"/>
      <c r="S31" s="39"/>
      <c r="T31" s="37"/>
      <c r="U31" s="39"/>
      <c r="V31" s="37"/>
      <c r="W31" s="39"/>
      <c r="X31" s="37"/>
      <c r="Y31" s="39"/>
      <c r="Z31" s="37"/>
      <c r="AA31" s="39"/>
      <c r="AB31" s="37"/>
      <c r="AC31" s="39"/>
      <c r="AD31" s="37"/>
      <c r="AE31" s="37"/>
      <c r="AF31" s="37">
        <f t="shared" si="7"/>
        <v>0</v>
      </c>
      <c r="AG31" s="40"/>
      <c r="AH31" s="41">
        <v>0</v>
      </c>
      <c r="AI31" s="65">
        <v>299000</v>
      </c>
      <c r="AJ31" s="41">
        <v>0</v>
      </c>
    </row>
    <row r="32" spans="1:42" s="2" customFormat="1" ht="17.399999999999999" x14ac:dyDescent="0.3">
      <c r="A32" s="31"/>
      <c r="B32" s="31"/>
      <c r="C32" s="31"/>
      <c r="D32" s="31"/>
      <c r="E32" s="31"/>
      <c r="F32" s="31" t="s">
        <v>99</v>
      </c>
      <c r="G32" s="39"/>
      <c r="H32" s="37"/>
      <c r="I32" s="39"/>
      <c r="J32" s="37"/>
      <c r="K32" s="39"/>
      <c r="L32" s="37"/>
      <c r="M32" s="39"/>
      <c r="N32" s="37"/>
      <c r="O32" s="39"/>
      <c r="P32" s="37"/>
      <c r="Q32" s="39"/>
      <c r="R32" s="37"/>
      <c r="S32" s="39"/>
      <c r="T32" s="37"/>
      <c r="U32" s="39"/>
      <c r="V32" s="37"/>
      <c r="W32" s="39"/>
      <c r="X32" s="37"/>
      <c r="Y32" s="39"/>
      <c r="Z32" s="37"/>
      <c r="AA32" s="39"/>
      <c r="AB32" s="37"/>
      <c r="AC32" s="39"/>
      <c r="AD32" s="37"/>
      <c r="AE32" s="37"/>
      <c r="AF32" s="37">
        <f t="shared" si="7"/>
        <v>0</v>
      </c>
      <c r="AG32" s="40"/>
      <c r="AH32" s="41">
        <v>0</v>
      </c>
      <c r="AI32" s="41">
        <v>0</v>
      </c>
      <c r="AJ32" s="41">
        <v>0</v>
      </c>
    </row>
    <row r="33" spans="1:42" s="2" customFormat="1" ht="17.399999999999999" x14ac:dyDescent="0.3">
      <c r="A33" s="31"/>
      <c r="B33" s="31"/>
      <c r="C33" s="31"/>
      <c r="D33" s="31"/>
      <c r="E33" s="31"/>
      <c r="F33" s="31" t="s">
        <v>68</v>
      </c>
      <c r="G33" s="39"/>
      <c r="H33" s="37"/>
      <c r="I33" s="39"/>
      <c r="J33" s="37"/>
      <c r="K33" s="39"/>
      <c r="L33" s="37"/>
      <c r="M33" s="39"/>
      <c r="N33" s="37"/>
      <c r="O33" s="39"/>
      <c r="P33" s="37"/>
      <c r="Q33" s="39"/>
      <c r="R33" s="37"/>
      <c r="S33" s="39"/>
      <c r="T33" s="37"/>
      <c r="U33" s="39"/>
      <c r="V33" s="37"/>
      <c r="W33" s="39"/>
      <c r="X33" s="37"/>
      <c r="Y33" s="39"/>
      <c r="Z33" s="37"/>
      <c r="AA33" s="39"/>
      <c r="AB33" s="37"/>
      <c r="AC33" s="39"/>
      <c r="AD33" s="37"/>
      <c r="AE33" s="37"/>
      <c r="AF33" s="37">
        <f t="shared" si="7"/>
        <v>833.33333333333326</v>
      </c>
      <c r="AG33" s="40"/>
      <c r="AH33" s="41">
        <v>2000</v>
      </c>
      <c r="AI33" s="41">
        <v>1000</v>
      </c>
      <c r="AJ33" s="41">
        <v>3000</v>
      </c>
      <c r="AO33" s="2">
        <v>60000</v>
      </c>
      <c r="AP33" s="20"/>
    </row>
    <row r="34" spans="1:42" s="2" customFormat="1" ht="17.399999999999999" x14ac:dyDescent="0.3">
      <c r="A34" s="31"/>
      <c r="B34" s="31"/>
      <c r="C34" s="31"/>
      <c r="D34" s="31"/>
      <c r="E34" s="31"/>
      <c r="F34" s="31" t="s">
        <v>100</v>
      </c>
      <c r="G34" s="39"/>
      <c r="H34" s="37"/>
      <c r="I34" s="39"/>
      <c r="J34" s="37"/>
      <c r="K34" s="39"/>
      <c r="L34" s="37"/>
      <c r="M34" s="39"/>
      <c r="N34" s="37"/>
      <c r="O34" s="39"/>
      <c r="P34" s="37"/>
      <c r="Q34" s="39"/>
      <c r="R34" s="37"/>
      <c r="S34" s="39"/>
      <c r="T34" s="37"/>
      <c r="U34" s="39"/>
      <c r="V34" s="37"/>
      <c r="W34" s="39"/>
      <c r="X34" s="37"/>
      <c r="Y34" s="39"/>
      <c r="Z34" s="37"/>
      <c r="AA34" s="39"/>
      <c r="AB34" s="37"/>
      <c r="AC34" s="39"/>
      <c r="AD34" s="37"/>
      <c r="AE34" s="37"/>
      <c r="AF34" s="37">
        <f t="shared" si="7"/>
        <v>2083.3333333333335</v>
      </c>
      <c r="AG34" s="40"/>
      <c r="AH34" s="41">
        <v>5000</v>
      </c>
      <c r="AI34" s="41">
        <v>0</v>
      </c>
      <c r="AJ34" s="41">
        <v>5000</v>
      </c>
      <c r="AP34" s="20"/>
    </row>
    <row r="35" spans="1:42" s="2" customFormat="1" ht="17.399999999999999" x14ac:dyDescent="0.3">
      <c r="A35" s="31"/>
      <c r="B35" s="31"/>
      <c r="C35" s="31"/>
      <c r="D35" s="31"/>
      <c r="E35" s="31"/>
      <c r="F35" s="31" t="s">
        <v>37</v>
      </c>
      <c r="G35" s="39">
        <v>799.55</v>
      </c>
      <c r="H35" s="37">
        <f>$AH$35/12</f>
        <v>500</v>
      </c>
      <c r="I35" s="39">
        <v>390.6</v>
      </c>
      <c r="J35" s="37">
        <f>$AH$35/12</f>
        <v>500</v>
      </c>
      <c r="K35" s="39">
        <v>2090.6</v>
      </c>
      <c r="L35" s="37">
        <f>$AH$35/12</f>
        <v>500</v>
      </c>
      <c r="M35" s="39">
        <v>1031.53</v>
      </c>
      <c r="N35" s="37">
        <f>$AH$35/12</f>
        <v>500</v>
      </c>
      <c r="O35" s="39">
        <v>665.6</v>
      </c>
      <c r="P35" s="37">
        <f>$AH$35/12</f>
        <v>500</v>
      </c>
      <c r="Q35" s="39"/>
      <c r="R35" s="37">
        <f>$AH$35/12</f>
        <v>500</v>
      </c>
      <c r="S35" s="39"/>
      <c r="T35" s="37">
        <f>$AH$35/12</f>
        <v>500</v>
      </c>
      <c r="U35" s="39"/>
      <c r="V35" s="37">
        <f>$AH$35/12</f>
        <v>500</v>
      </c>
      <c r="W35" s="39"/>
      <c r="X35" s="37">
        <f>$AH$35/12</f>
        <v>500</v>
      </c>
      <c r="Y35" s="39"/>
      <c r="Z35" s="37">
        <f>$AH$35/12</f>
        <v>500</v>
      </c>
      <c r="AA35" s="39"/>
      <c r="AB35" s="37">
        <f>$AH$35/12</f>
        <v>500</v>
      </c>
      <c r="AC35" s="39"/>
      <c r="AD35" s="37">
        <f>$AH$35/12</f>
        <v>500</v>
      </c>
      <c r="AE35" s="37">
        <f t="shared" si="6"/>
        <v>4977.88</v>
      </c>
      <c r="AF35" s="37">
        <f t="shared" si="7"/>
        <v>2500</v>
      </c>
      <c r="AG35" s="40">
        <f t="shared" si="8"/>
        <v>2477.88</v>
      </c>
      <c r="AH35" s="41">
        <v>6000</v>
      </c>
      <c r="AI35" s="41">
        <v>7000</v>
      </c>
      <c r="AJ35" s="41">
        <v>7000</v>
      </c>
      <c r="AL35" s="2">
        <f>AI6*AP35/4</f>
        <v>2678.8480874999996</v>
      </c>
      <c r="AN35" s="2">
        <v>2</v>
      </c>
      <c r="AO35" s="2">
        <v>2700</v>
      </c>
      <c r="AP35" s="21">
        <f>2700/60000</f>
        <v>4.4999999999999998E-2</v>
      </c>
    </row>
    <row r="36" spans="1:42" s="2" customFormat="1" ht="17.399999999999999" x14ac:dyDescent="0.3">
      <c r="A36" s="31"/>
      <c r="B36" s="31"/>
      <c r="C36" s="31"/>
      <c r="D36" s="31"/>
      <c r="E36" s="31"/>
      <c r="F36" s="31" t="s">
        <v>38</v>
      </c>
      <c r="G36" s="39">
        <v>0</v>
      </c>
      <c r="H36" s="37">
        <f>$AH$36/12</f>
        <v>0</v>
      </c>
      <c r="I36" s="39">
        <v>0</v>
      </c>
      <c r="J36" s="37">
        <f>$AH$36/12</f>
        <v>0</v>
      </c>
      <c r="K36" s="39">
        <v>0</v>
      </c>
      <c r="L36" s="37">
        <f>$AH$36/12</f>
        <v>0</v>
      </c>
      <c r="M36" s="39">
        <v>0</v>
      </c>
      <c r="N36" s="37">
        <f>$AH$36/12</f>
        <v>0</v>
      </c>
      <c r="O36" s="39">
        <v>0</v>
      </c>
      <c r="P36" s="37">
        <f>$AH$36/12</f>
        <v>0</v>
      </c>
      <c r="Q36" s="39"/>
      <c r="R36" s="37">
        <f>$AH$36/12</f>
        <v>0</v>
      </c>
      <c r="S36" s="39"/>
      <c r="T36" s="37">
        <f>$AH$36/12</f>
        <v>0</v>
      </c>
      <c r="U36" s="39"/>
      <c r="V36" s="37">
        <f>$AH$36/12</f>
        <v>0</v>
      </c>
      <c r="W36" s="39"/>
      <c r="X36" s="37">
        <f>$AH$36/12</f>
        <v>0</v>
      </c>
      <c r="Y36" s="39"/>
      <c r="Z36" s="37">
        <f>$AH$36/12</f>
        <v>0</v>
      </c>
      <c r="AA36" s="39"/>
      <c r="AB36" s="37">
        <f>$AH$36/12</f>
        <v>0</v>
      </c>
      <c r="AC36" s="39"/>
      <c r="AD36" s="37">
        <f>$AH$36/12</f>
        <v>0</v>
      </c>
      <c r="AE36" s="37">
        <f t="shared" si="6"/>
        <v>0</v>
      </c>
      <c r="AF36" s="37">
        <f t="shared" si="7"/>
        <v>0</v>
      </c>
      <c r="AG36" s="40">
        <f t="shared" si="8"/>
        <v>0</v>
      </c>
      <c r="AH36" s="41">
        <v>0</v>
      </c>
      <c r="AI36" s="41">
        <v>0</v>
      </c>
      <c r="AJ36" s="41">
        <v>0</v>
      </c>
    </row>
    <row r="37" spans="1:42" s="2" customFormat="1" ht="18" thickBot="1" x14ac:dyDescent="0.35">
      <c r="A37" s="31"/>
      <c r="B37" s="31"/>
      <c r="C37" s="31"/>
      <c r="D37" s="31"/>
      <c r="E37" s="31"/>
      <c r="F37" s="31" t="s">
        <v>39</v>
      </c>
      <c r="G37" s="48">
        <v>0</v>
      </c>
      <c r="H37" s="44">
        <f>$AH$37/12</f>
        <v>0</v>
      </c>
      <c r="I37" s="48">
        <v>0</v>
      </c>
      <c r="J37" s="44">
        <f>$AH$37/12</f>
        <v>0</v>
      </c>
      <c r="K37" s="48">
        <v>0</v>
      </c>
      <c r="L37" s="44">
        <f>$AH$37/12</f>
        <v>0</v>
      </c>
      <c r="M37" s="48">
        <v>0</v>
      </c>
      <c r="N37" s="44">
        <f>$AH$37/12</f>
        <v>0</v>
      </c>
      <c r="O37" s="48">
        <v>0</v>
      </c>
      <c r="P37" s="44">
        <f>$AH$37/12</f>
        <v>0</v>
      </c>
      <c r="Q37" s="48"/>
      <c r="R37" s="44">
        <f>$AH$37/12</f>
        <v>0</v>
      </c>
      <c r="S37" s="48"/>
      <c r="T37" s="44">
        <f>$AH$37/12</f>
        <v>0</v>
      </c>
      <c r="U37" s="48"/>
      <c r="V37" s="44">
        <f>$AH$37/12</f>
        <v>0</v>
      </c>
      <c r="W37" s="48"/>
      <c r="X37" s="44">
        <f>$AH$37/12</f>
        <v>0</v>
      </c>
      <c r="Y37" s="48"/>
      <c r="Z37" s="44">
        <f>$AH$37/12</f>
        <v>0</v>
      </c>
      <c r="AA37" s="48"/>
      <c r="AB37" s="44">
        <f>$AH$37/12</f>
        <v>0</v>
      </c>
      <c r="AC37" s="48"/>
      <c r="AD37" s="44">
        <f>$AH$37/12</f>
        <v>0</v>
      </c>
      <c r="AE37" s="44">
        <f t="shared" si="6"/>
        <v>0</v>
      </c>
      <c r="AF37" s="44">
        <f t="shared" si="7"/>
        <v>0</v>
      </c>
      <c r="AG37" s="49">
        <f t="shared" si="8"/>
        <v>0</v>
      </c>
      <c r="AH37" s="42">
        <v>0</v>
      </c>
      <c r="AI37" s="42">
        <v>0</v>
      </c>
      <c r="AJ37" s="42">
        <v>0</v>
      </c>
    </row>
    <row r="38" spans="1:42" s="2" customFormat="1" ht="17.399999999999999" x14ac:dyDescent="0.3">
      <c r="A38" s="31"/>
      <c r="B38" s="31"/>
      <c r="C38" s="31"/>
      <c r="D38" s="31"/>
      <c r="E38" s="31" t="s">
        <v>40</v>
      </c>
      <c r="F38" s="31"/>
      <c r="G38" s="37">
        <f>SUM(G28:G37)</f>
        <v>1500.6999999999998</v>
      </c>
      <c r="H38" s="37">
        <f>$AH$38/12</f>
        <v>1858.3333333333333</v>
      </c>
      <c r="I38" s="37">
        <f>SUM(I28:I37)</f>
        <v>1094.75</v>
      </c>
      <c r="J38" s="37">
        <f>$AH$38/12</f>
        <v>1858.3333333333333</v>
      </c>
      <c r="K38" s="37">
        <f>SUM(K27:K37)</f>
        <v>3333.7</v>
      </c>
      <c r="L38" s="37">
        <f>$AH$38/12</f>
        <v>1858.3333333333333</v>
      </c>
      <c r="M38" s="37">
        <f>SUM(M28:M37)</f>
        <v>1743.33</v>
      </c>
      <c r="N38" s="37">
        <f>$AH$38/12</f>
        <v>1858.3333333333333</v>
      </c>
      <c r="O38" s="37">
        <f>SUM(O28:O37)</f>
        <v>1407.4</v>
      </c>
      <c r="P38" s="37">
        <f>$AH$38/12</f>
        <v>1858.3333333333333</v>
      </c>
      <c r="Q38" s="37">
        <f>SUM(Q28:Q37)</f>
        <v>0</v>
      </c>
      <c r="R38" s="37">
        <f>$AH$38/12</f>
        <v>1858.3333333333333</v>
      </c>
      <c r="S38" s="37">
        <f>SUM(S28:S37)</f>
        <v>0</v>
      </c>
      <c r="T38" s="37">
        <f>$AH$38/12</f>
        <v>1858.3333333333333</v>
      </c>
      <c r="U38" s="37">
        <f>SUM(U28:U37)</f>
        <v>0</v>
      </c>
      <c r="V38" s="37">
        <f>$AH$38/12</f>
        <v>1858.3333333333333</v>
      </c>
      <c r="W38" s="37">
        <f>SUM(W28:W37)</f>
        <v>0</v>
      </c>
      <c r="X38" s="37">
        <f>$AH$38/12</f>
        <v>1858.3333333333333</v>
      </c>
      <c r="Y38" s="37">
        <f>SUM(Y28:Y37)</f>
        <v>0</v>
      </c>
      <c r="Z38" s="37">
        <f>$AH$38/12</f>
        <v>1858.3333333333333</v>
      </c>
      <c r="AA38" s="37">
        <f>SUM(AA28:AA37)</f>
        <v>0</v>
      </c>
      <c r="AB38" s="37">
        <f>$AH$38/12</f>
        <v>1858.3333333333333</v>
      </c>
      <c r="AC38" s="37">
        <f>SUM(AC28:AC37)</f>
        <v>0</v>
      </c>
      <c r="AD38" s="37">
        <f>$AH$38/12</f>
        <v>1858.3333333333333</v>
      </c>
      <c r="AE38" s="37">
        <f t="shared" si="6"/>
        <v>9079.8799999999992</v>
      </c>
      <c r="AF38" s="37">
        <f t="shared" si="7"/>
        <v>9291.6666666666661</v>
      </c>
      <c r="AG38" s="40">
        <f t="shared" si="8"/>
        <v>-211.78666666666686</v>
      </c>
      <c r="AH38" s="50">
        <v>22300</v>
      </c>
      <c r="AI38" s="50">
        <f>SUM(AI27:AI37)</f>
        <v>314160</v>
      </c>
      <c r="AJ38" s="50">
        <f>SUM(AJ27:AJ37)</f>
        <v>28700</v>
      </c>
    </row>
    <row r="39" spans="1:42" s="2" customFormat="1" ht="17.399999999999999" x14ac:dyDescent="0.3">
      <c r="A39" s="31"/>
      <c r="B39" s="31"/>
      <c r="C39" s="31"/>
      <c r="D39" s="31"/>
      <c r="E39" s="31" t="s">
        <v>41</v>
      </c>
      <c r="F39" s="3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40"/>
      <c r="AH39" s="41"/>
      <c r="AI39" s="41"/>
      <c r="AJ39" s="41"/>
    </row>
    <row r="40" spans="1:42" s="2" customFormat="1" ht="17.399999999999999" x14ac:dyDescent="0.3">
      <c r="A40" s="31"/>
      <c r="B40" s="31"/>
      <c r="C40" s="31"/>
      <c r="D40" s="31"/>
      <c r="E40" s="31"/>
      <c r="F40" s="31" t="s">
        <v>42</v>
      </c>
      <c r="G40" s="39">
        <v>119.94</v>
      </c>
      <c r="H40" s="37">
        <f>$AH$40/12</f>
        <v>116.66666666666667</v>
      </c>
      <c r="I40" s="39">
        <v>88.09</v>
      </c>
      <c r="J40" s="37">
        <f>$AH$40/12</f>
        <v>116.66666666666667</v>
      </c>
      <c r="K40" s="39">
        <v>99.57</v>
      </c>
      <c r="L40" s="37">
        <f>$AH$40/12</f>
        <v>116.66666666666667</v>
      </c>
      <c r="M40" s="39">
        <v>93.65</v>
      </c>
      <c r="N40" s="37">
        <f>$AH$40/12</f>
        <v>116.66666666666667</v>
      </c>
      <c r="O40" s="39">
        <v>94.47</v>
      </c>
      <c r="P40" s="37">
        <f>$AH$40/12</f>
        <v>116.66666666666667</v>
      </c>
      <c r="Q40" s="39"/>
      <c r="R40" s="37">
        <f>$AH$40/12</f>
        <v>116.66666666666667</v>
      </c>
      <c r="S40" s="39"/>
      <c r="T40" s="37">
        <f>$AH$40/12</f>
        <v>116.66666666666667</v>
      </c>
      <c r="U40" s="39"/>
      <c r="V40" s="37">
        <f>$AH$40/12</f>
        <v>116.66666666666667</v>
      </c>
      <c r="W40" s="39"/>
      <c r="X40" s="37">
        <f>$AH$40/12</f>
        <v>116.66666666666667</v>
      </c>
      <c r="Y40" s="39"/>
      <c r="Z40" s="37">
        <f>$AH$40/12</f>
        <v>116.66666666666667</v>
      </c>
      <c r="AA40" s="39"/>
      <c r="AB40" s="37">
        <f>$AH$40/12</f>
        <v>116.66666666666667</v>
      </c>
      <c r="AC40" s="39"/>
      <c r="AD40" s="37">
        <f>$AH$40/12</f>
        <v>116.66666666666667</v>
      </c>
      <c r="AE40" s="37">
        <f>G40+I40+K40+M40+O40+Q40+S40+U40+W40+Y40+AA40+AC40</f>
        <v>495.72</v>
      </c>
      <c r="AF40" s="37">
        <f t="shared" ref="AF40:AF44" si="9">(AH40/12)*$AF$2</f>
        <v>583.33333333333337</v>
      </c>
      <c r="AG40" s="40">
        <f>AE40-AF40</f>
        <v>-87.613333333333344</v>
      </c>
      <c r="AH40" s="41">
        <v>1400</v>
      </c>
      <c r="AI40" s="41">
        <v>1500</v>
      </c>
      <c r="AJ40" s="41">
        <v>1600</v>
      </c>
      <c r="AL40" t="s">
        <v>101</v>
      </c>
      <c r="AM40"/>
      <c r="AN40"/>
    </row>
    <row r="41" spans="1:42" s="2" customFormat="1" ht="17.399999999999999" x14ac:dyDescent="0.3">
      <c r="A41" s="31"/>
      <c r="B41" s="31"/>
      <c r="C41" s="31"/>
      <c r="D41" s="31"/>
      <c r="E41" s="31"/>
      <c r="F41" s="31" t="s">
        <v>65</v>
      </c>
      <c r="G41" s="39"/>
      <c r="H41" s="37"/>
      <c r="I41" s="39"/>
      <c r="J41" s="37"/>
      <c r="K41" s="39"/>
      <c r="L41" s="37"/>
      <c r="M41" s="39"/>
      <c r="N41" s="37"/>
      <c r="O41" s="39"/>
      <c r="P41" s="37"/>
      <c r="Q41" s="39"/>
      <c r="R41" s="37"/>
      <c r="S41" s="39"/>
      <c r="T41" s="37"/>
      <c r="U41" s="39"/>
      <c r="V41" s="37"/>
      <c r="W41" s="39"/>
      <c r="X41" s="37"/>
      <c r="Y41" s="39"/>
      <c r="Z41" s="37"/>
      <c r="AA41" s="39"/>
      <c r="AB41" s="37"/>
      <c r="AC41" s="39"/>
      <c r="AD41" s="37"/>
      <c r="AE41" s="37"/>
      <c r="AF41" s="37">
        <f t="shared" si="9"/>
        <v>12.5</v>
      </c>
      <c r="AG41" s="40"/>
      <c r="AH41" s="41">
        <v>30</v>
      </c>
      <c r="AI41" s="41">
        <v>60</v>
      </c>
      <c r="AJ41" s="41">
        <v>60</v>
      </c>
      <c r="AL41"/>
      <c r="AM41"/>
      <c r="AN41"/>
      <c r="AO41"/>
      <c r="AP41"/>
    </row>
    <row r="42" spans="1:42" ht="17.399999999999999" x14ac:dyDescent="0.3">
      <c r="A42" s="31"/>
      <c r="B42" s="31"/>
      <c r="C42" s="31"/>
      <c r="D42" s="31"/>
      <c r="E42" s="31"/>
      <c r="F42" s="31" t="s">
        <v>43</v>
      </c>
      <c r="G42" s="39">
        <v>819.01</v>
      </c>
      <c r="H42" s="37">
        <f>$AH$42/12</f>
        <v>1166.6666666666667</v>
      </c>
      <c r="I42" s="39">
        <v>1375.86</v>
      </c>
      <c r="J42" s="37">
        <f>$AH$42/12</f>
        <v>1166.6666666666667</v>
      </c>
      <c r="K42" s="39">
        <v>1551.56</v>
      </c>
      <c r="L42" s="37">
        <f>$AH$42/12</f>
        <v>1166.6666666666667</v>
      </c>
      <c r="M42" s="39">
        <v>1024.46</v>
      </c>
      <c r="N42" s="37">
        <f>$AH$42/12</f>
        <v>1166.6666666666667</v>
      </c>
      <c r="O42" s="39">
        <v>1069.6400000000001</v>
      </c>
      <c r="P42" s="37">
        <f>$AH$42/12</f>
        <v>1166.6666666666667</v>
      </c>
      <c r="Q42" s="39"/>
      <c r="R42" s="37">
        <f>$AH$42/12</f>
        <v>1166.6666666666667</v>
      </c>
      <c r="S42" s="39"/>
      <c r="T42" s="37">
        <f>$AH$42/12</f>
        <v>1166.6666666666667</v>
      </c>
      <c r="U42" s="39"/>
      <c r="V42" s="37">
        <f>$AH$42/12</f>
        <v>1166.6666666666667</v>
      </c>
      <c r="W42" s="39"/>
      <c r="X42" s="37">
        <f>$AH$42/12</f>
        <v>1166.6666666666667</v>
      </c>
      <c r="Y42" s="39"/>
      <c r="Z42" s="37">
        <f>$AH$42/12</f>
        <v>1166.6666666666667</v>
      </c>
      <c r="AA42" s="39"/>
      <c r="AB42" s="37">
        <f>$AH$42/12</f>
        <v>1166.6666666666667</v>
      </c>
      <c r="AC42" s="39"/>
      <c r="AD42" s="37">
        <f>$AH$42/12</f>
        <v>1166.6666666666667</v>
      </c>
      <c r="AE42" s="37">
        <f>G42+I42+K42+M42+O42+Q42+S42+U42+W42+Y42+AA42+AC42</f>
        <v>5840.53</v>
      </c>
      <c r="AF42" s="37">
        <f t="shared" si="9"/>
        <v>5833.3333333333339</v>
      </c>
      <c r="AG42" s="40">
        <f>AE42-AF42</f>
        <v>7.1966666666658057</v>
      </c>
      <c r="AH42" s="41">
        <v>14000</v>
      </c>
      <c r="AI42" s="41">
        <v>15500</v>
      </c>
      <c r="AJ42" s="41">
        <v>16000</v>
      </c>
    </row>
    <row r="43" spans="1:42" ht="18" thickBot="1" x14ac:dyDescent="0.35">
      <c r="A43" s="31"/>
      <c r="B43" s="31"/>
      <c r="C43" s="31"/>
      <c r="D43" s="31"/>
      <c r="E43" s="31"/>
      <c r="F43" s="31" t="s">
        <v>44</v>
      </c>
      <c r="G43" s="39">
        <v>640.36</v>
      </c>
      <c r="H43" s="37">
        <f>$AH$43/12</f>
        <v>666.66666666666663</v>
      </c>
      <c r="I43" s="39">
        <v>627.25</v>
      </c>
      <c r="J43" s="37">
        <f>$AH$43/12</f>
        <v>666.66666666666663</v>
      </c>
      <c r="K43" s="39">
        <v>605.4</v>
      </c>
      <c r="L43" s="37">
        <f>$AH$43/12</f>
        <v>666.66666666666663</v>
      </c>
      <c r="M43" s="39">
        <v>596.66</v>
      </c>
      <c r="N43" s="37">
        <f>$AH$43/12</f>
        <v>666.66666666666663</v>
      </c>
      <c r="O43" s="39">
        <v>548.59</v>
      </c>
      <c r="P43" s="37">
        <f>$AH$43/12</f>
        <v>666.66666666666663</v>
      </c>
      <c r="Q43" s="39"/>
      <c r="R43" s="37">
        <f>$AH$43/12</f>
        <v>666.66666666666663</v>
      </c>
      <c r="S43" s="39"/>
      <c r="T43" s="37">
        <f>$AH$43/12</f>
        <v>666.66666666666663</v>
      </c>
      <c r="U43" s="39"/>
      <c r="V43" s="37">
        <f>$AH$43/12</f>
        <v>666.66666666666663</v>
      </c>
      <c r="W43" s="39"/>
      <c r="X43" s="37">
        <f>$AH$43/12</f>
        <v>666.66666666666663</v>
      </c>
      <c r="Y43" s="39"/>
      <c r="Z43" s="37">
        <f>$AH$43/12</f>
        <v>666.66666666666663</v>
      </c>
      <c r="AA43" s="39"/>
      <c r="AB43" s="37">
        <f>$AH$43/12</f>
        <v>666.66666666666663</v>
      </c>
      <c r="AC43" s="39"/>
      <c r="AD43" s="37">
        <f>$AH$43/12</f>
        <v>666.66666666666663</v>
      </c>
      <c r="AE43" s="37">
        <f>G43+I43+K43+M43+O43+Q43+S43+U43+W43+Y43+AA43+AC43</f>
        <v>3018.26</v>
      </c>
      <c r="AF43" s="37">
        <f t="shared" si="9"/>
        <v>3333.333333333333</v>
      </c>
      <c r="AG43" s="40">
        <f>AE43-AF43</f>
        <v>-315.07333333333281</v>
      </c>
      <c r="AH43" s="41">
        <v>8000</v>
      </c>
      <c r="AI43" s="41">
        <v>6500</v>
      </c>
      <c r="AJ43" s="41">
        <v>6800</v>
      </c>
    </row>
    <row r="44" spans="1:42" ht="18" thickBot="1" x14ac:dyDescent="0.35">
      <c r="A44" s="31"/>
      <c r="B44" s="31"/>
      <c r="C44" s="31"/>
      <c r="D44" s="31"/>
      <c r="E44" s="31" t="s">
        <v>45</v>
      </c>
      <c r="F44" s="31"/>
      <c r="G44" s="37">
        <f>SUM(G40:G43)</f>
        <v>1579.31</v>
      </c>
      <c r="H44" s="37">
        <f>$AH$44/12</f>
        <v>1952.5</v>
      </c>
      <c r="I44" s="37">
        <f>SUM(I40:I43)</f>
        <v>2091.1999999999998</v>
      </c>
      <c r="J44" s="37">
        <f>$AH$44/12</f>
        <v>1952.5</v>
      </c>
      <c r="K44" s="37">
        <f>SUM(K40:K43)</f>
        <v>2256.5299999999997</v>
      </c>
      <c r="L44" s="37">
        <f>$AH$44/12</f>
        <v>1952.5</v>
      </c>
      <c r="M44" s="37">
        <f>SUM(M40:M43)</f>
        <v>1714.77</v>
      </c>
      <c r="N44" s="37">
        <f>$AH$44/12</f>
        <v>1952.5</v>
      </c>
      <c r="O44" s="37">
        <f>SUM(O40:O43)</f>
        <v>1712.7000000000003</v>
      </c>
      <c r="P44" s="37">
        <f>$AH$44/12</f>
        <v>1952.5</v>
      </c>
      <c r="Q44" s="37">
        <f>SUM(Q40:Q43)</f>
        <v>0</v>
      </c>
      <c r="R44" s="37">
        <f>$AH$44/12</f>
        <v>1952.5</v>
      </c>
      <c r="S44" s="37">
        <f>SUM(S40:S43)</f>
        <v>0</v>
      </c>
      <c r="T44" s="37">
        <f>$AH$44/12</f>
        <v>1952.5</v>
      </c>
      <c r="U44" s="37">
        <f>SUM(U40:U43)</f>
        <v>0</v>
      </c>
      <c r="V44" s="37">
        <f>$AH$44/12</f>
        <v>1952.5</v>
      </c>
      <c r="W44" s="37">
        <f>SUM(W40:W43)</f>
        <v>0</v>
      </c>
      <c r="X44" s="37">
        <f>$AH$44/12</f>
        <v>1952.5</v>
      </c>
      <c r="Y44" s="37">
        <f>SUM(Y40:Y43)</f>
        <v>0</v>
      </c>
      <c r="Z44" s="37">
        <f>$AH$44/12</f>
        <v>1952.5</v>
      </c>
      <c r="AA44" s="37">
        <f>SUM(AA40:AA43)</f>
        <v>0</v>
      </c>
      <c r="AB44" s="37">
        <f>$AH$44/12</f>
        <v>1952.5</v>
      </c>
      <c r="AC44" s="37">
        <f>SUM(AC40:AC43)</f>
        <v>0</v>
      </c>
      <c r="AD44" s="37">
        <f>$AH$44/12</f>
        <v>1952.5</v>
      </c>
      <c r="AE44" s="37">
        <f>G44+I44+K44+M44+O44+Q44+S44+U44+W44+Y44+AA44+AC44</f>
        <v>9354.51</v>
      </c>
      <c r="AF44" s="37">
        <f t="shared" si="9"/>
        <v>9762.5</v>
      </c>
      <c r="AG44" s="40">
        <f>AE44-AF44</f>
        <v>-407.98999999999978</v>
      </c>
      <c r="AH44" s="51">
        <v>23430</v>
      </c>
      <c r="AI44" s="51">
        <f>SUM(AI40:AI43)</f>
        <v>23560</v>
      </c>
      <c r="AJ44" s="51">
        <f>SUM(AJ40:AJ43)</f>
        <v>24460</v>
      </c>
    </row>
    <row r="45" spans="1:42" ht="17.399999999999999" x14ac:dyDescent="0.3">
      <c r="A45" s="31"/>
      <c r="B45" s="31"/>
      <c r="C45" s="31"/>
      <c r="D45" s="31"/>
      <c r="E45" s="31" t="s">
        <v>46</v>
      </c>
      <c r="F45" s="3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40"/>
      <c r="AH45" s="41"/>
      <c r="AI45" s="41"/>
      <c r="AJ45" s="41"/>
    </row>
    <row r="46" spans="1:42" ht="17.399999999999999" x14ac:dyDescent="0.3">
      <c r="A46" s="31"/>
      <c r="B46" s="31"/>
      <c r="C46" s="31"/>
      <c r="D46" s="31"/>
      <c r="E46" s="31"/>
      <c r="F46" s="31" t="s">
        <v>47</v>
      </c>
      <c r="G46" s="39">
        <v>0</v>
      </c>
      <c r="H46" s="37">
        <f>$AH$46/12</f>
        <v>8.3333333333333339</v>
      </c>
      <c r="I46" s="39">
        <v>0</v>
      </c>
      <c r="J46" s="37">
        <f>$AH$46/12</f>
        <v>8.3333333333333339</v>
      </c>
      <c r="K46" s="39">
        <v>0</v>
      </c>
      <c r="L46" s="37">
        <f>$AH$46/12</f>
        <v>8.3333333333333339</v>
      </c>
      <c r="M46" s="39">
        <v>0</v>
      </c>
      <c r="N46" s="37">
        <f>$AH$46/12</f>
        <v>8.3333333333333339</v>
      </c>
      <c r="O46" s="39">
        <v>0</v>
      </c>
      <c r="P46" s="37">
        <f>$AH$46/12</f>
        <v>8.3333333333333339</v>
      </c>
      <c r="Q46" s="39"/>
      <c r="R46" s="37">
        <f>$AH$46/12</f>
        <v>8.3333333333333339</v>
      </c>
      <c r="S46" s="39"/>
      <c r="T46" s="37">
        <f>$AH$46/12</f>
        <v>8.3333333333333339</v>
      </c>
      <c r="U46" s="39"/>
      <c r="V46" s="37">
        <f>$AH$46/12</f>
        <v>8.3333333333333339</v>
      </c>
      <c r="W46" s="39"/>
      <c r="X46" s="37">
        <f>$AH$46/12</f>
        <v>8.3333333333333339</v>
      </c>
      <c r="Y46" s="39"/>
      <c r="Z46" s="37">
        <f>$AH$46/12</f>
        <v>8.3333333333333339</v>
      </c>
      <c r="AA46" s="39"/>
      <c r="AB46" s="37">
        <f>$AH$46/12</f>
        <v>8.3333333333333339</v>
      </c>
      <c r="AC46" s="39"/>
      <c r="AD46" s="37">
        <f>$AH$46/12</f>
        <v>8.3333333333333339</v>
      </c>
      <c r="AE46" s="37">
        <f t="shared" ref="AE46:AE52" si="10">G46+I46+K46+M46+O46+Q46+S46+U46+W46+Y46+AA46+AC46</f>
        <v>0</v>
      </c>
      <c r="AF46" s="37">
        <f t="shared" ref="AF46:AF52" si="11">(AH46/12)*$AF$2</f>
        <v>41.666666666666671</v>
      </c>
      <c r="AG46" s="40">
        <f>AE46-AF46</f>
        <v>-41.666666666666671</v>
      </c>
      <c r="AH46" s="41">
        <v>100</v>
      </c>
      <c r="AI46" s="41">
        <v>0</v>
      </c>
      <c r="AJ46" s="41">
        <v>100</v>
      </c>
    </row>
    <row r="47" spans="1:42" ht="17.399999999999999" x14ac:dyDescent="0.3">
      <c r="A47" s="31"/>
      <c r="B47" s="31"/>
      <c r="C47" s="31"/>
      <c r="D47" s="31"/>
      <c r="E47" s="31"/>
      <c r="F47" s="31" t="s">
        <v>66</v>
      </c>
      <c r="G47" s="39"/>
      <c r="H47" s="37"/>
      <c r="I47" s="39"/>
      <c r="J47" s="37"/>
      <c r="K47" s="39"/>
      <c r="L47" s="37"/>
      <c r="M47" s="39"/>
      <c r="N47" s="37"/>
      <c r="O47" s="39"/>
      <c r="P47" s="37"/>
      <c r="Q47" s="39"/>
      <c r="R47" s="37"/>
      <c r="S47" s="39"/>
      <c r="T47" s="37"/>
      <c r="U47" s="39"/>
      <c r="V47" s="37"/>
      <c r="W47" s="39"/>
      <c r="X47" s="37"/>
      <c r="Y47" s="39"/>
      <c r="Z47" s="37"/>
      <c r="AA47" s="39"/>
      <c r="AB47" s="37"/>
      <c r="AC47" s="39"/>
      <c r="AD47" s="37"/>
      <c r="AE47" s="37"/>
      <c r="AF47" s="37">
        <f t="shared" si="11"/>
        <v>416.66666666666663</v>
      </c>
      <c r="AG47" s="40"/>
      <c r="AH47" s="41">
        <v>1000</v>
      </c>
      <c r="AI47" s="41">
        <v>500</v>
      </c>
      <c r="AJ47" s="41">
        <v>500</v>
      </c>
    </row>
    <row r="48" spans="1:42" ht="17.399999999999999" x14ac:dyDescent="0.3">
      <c r="A48" s="31"/>
      <c r="B48" s="31"/>
      <c r="C48" s="31"/>
      <c r="D48" s="31"/>
      <c r="E48" s="31"/>
      <c r="F48" s="31" t="s">
        <v>48</v>
      </c>
      <c r="G48" s="39">
        <v>12059.33</v>
      </c>
      <c r="H48" s="37">
        <f>$AH$48/12</f>
        <v>12066.666666666666</v>
      </c>
      <c r="I48" s="39">
        <v>12059.33</v>
      </c>
      <c r="J48" s="37">
        <f>$AH$48/12</f>
        <v>12066.666666666666</v>
      </c>
      <c r="K48" s="39">
        <v>12059.33</v>
      </c>
      <c r="L48" s="37">
        <f>$AH$48/12</f>
        <v>12066.666666666666</v>
      </c>
      <c r="M48" s="39">
        <v>12059.33</v>
      </c>
      <c r="N48" s="37">
        <f>$AH$48/12</f>
        <v>12066.666666666666</v>
      </c>
      <c r="O48" s="39">
        <v>12059.33</v>
      </c>
      <c r="P48" s="37">
        <f>$AH$48/12</f>
        <v>12066.666666666666</v>
      </c>
      <c r="Q48" s="39"/>
      <c r="R48" s="37">
        <f>$AH$48/12</f>
        <v>12066.666666666666</v>
      </c>
      <c r="S48" s="39"/>
      <c r="T48" s="37">
        <f>$AH$48/12</f>
        <v>12066.666666666666</v>
      </c>
      <c r="U48" s="39"/>
      <c r="V48" s="37">
        <f>$AH$48/12</f>
        <v>12066.666666666666</v>
      </c>
      <c r="W48" s="39"/>
      <c r="X48" s="37">
        <f>$AH$48/12</f>
        <v>12066.666666666666</v>
      </c>
      <c r="Y48" s="39"/>
      <c r="Z48" s="37">
        <f>$AH$48/12</f>
        <v>12066.666666666666</v>
      </c>
      <c r="AA48" s="39"/>
      <c r="AB48" s="37">
        <f>$AH$48/12</f>
        <v>12066.666666666666</v>
      </c>
      <c r="AC48" s="39"/>
      <c r="AD48" s="37">
        <f>$AH$48/12</f>
        <v>12066.666666666666</v>
      </c>
      <c r="AE48" s="37">
        <f t="shared" si="10"/>
        <v>60296.65</v>
      </c>
      <c r="AF48" s="37">
        <f t="shared" si="11"/>
        <v>60333.333333333328</v>
      </c>
      <c r="AG48" s="40">
        <f>AE48-AF48</f>
        <v>-36.683333333327028</v>
      </c>
      <c r="AH48" s="41">
        <v>144800</v>
      </c>
      <c r="AI48" s="41">
        <v>144800</v>
      </c>
      <c r="AJ48" s="41">
        <f>36200*4</f>
        <v>144800</v>
      </c>
    </row>
    <row r="49" spans="1:39" ht="17.399999999999999" x14ac:dyDescent="0.3">
      <c r="A49" s="31"/>
      <c r="B49" s="31"/>
      <c r="C49" s="31"/>
      <c r="D49" s="31"/>
      <c r="E49" s="31"/>
      <c r="F49" s="31" t="s">
        <v>106</v>
      </c>
      <c r="G49" s="39"/>
      <c r="H49" s="37"/>
      <c r="I49" s="39"/>
      <c r="J49" s="37"/>
      <c r="K49" s="39"/>
      <c r="L49" s="37"/>
      <c r="M49" s="39"/>
      <c r="N49" s="37"/>
      <c r="O49" s="39"/>
      <c r="P49" s="37"/>
      <c r="Q49" s="39"/>
      <c r="R49" s="37"/>
      <c r="S49" s="39"/>
      <c r="T49" s="37"/>
      <c r="U49" s="39"/>
      <c r="V49" s="37"/>
      <c r="W49" s="39"/>
      <c r="X49" s="37"/>
      <c r="Y49" s="39"/>
      <c r="Z49" s="37"/>
      <c r="AA49" s="39"/>
      <c r="AB49" s="37"/>
      <c r="AC49" s="39"/>
      <c r="AD49" s="37"/>
      <c r="AE49" s="37"/>
      <c r="AF49" s="37">
        <f t="shared" si="11"/>
        <v>0</v>
      </c>
      <c r="AG49" s="40"/>
      <c r="AH49" s="41">
        <v>0</v>
      </c>
      <c r="AI49" s="41">
        <v>500</v>
      </c>
      <c r="AJ49" s="41">
        <v>500</v>
      </c>
    </row>
    <row r="50" spans="1:39" ht="18" thickBot="1" x14ac:dyDescent="0.35">
      <c r="A50" s="31"/>
      <c r="B50" s="31"/>
      <c r="C50" s="31"/>
      <c r="D50" s="31"/>
      <c r="E50" s="31"/>
      <c r="F50" s="31" t="s">
        <v>105</v>
      </c>
      <c r="G50" s="48">
        <v>50.06</v>
      </c>
      <c r="H50" s="37">
        <f>$AH$50/12</f>
        <v>0</v>
      </c>
      <c r="I50" s="48">
        <v>50.06</v>
      </c>
      <c r="J50" s="37">
        <f>$AH$50/12</f>
        <v>0</v>
      </c>
      <c r="K50" s="48">
        <v>50.06</v>
      </c>
      <c r="L50" s="37">
        <f>$AH$50/12</f>
        <v>0</v>
      </c>
      <c r="M50" s="48">
        <v>50.06</v>
      </c>
      <c r="N50" s="37">
        <f>$AH$50/12</f>
        <v>0</v>
      </c>
      <c r="O50" s="48">
        <v>62.84</v>
      </c>
      <c r="P50" s="37">
        <f>$AH$50/12</f>
        <v>0</v>
      </c>
      <c r="Q50" s="48"/>
      <c r="R50" s="37">
        <f>$AH$50/12</f>
        <v>0</v>
      </c>
      <c r="S50" s="48"/>
      <c r="T50" s="37">
        <f>$AH$50/12</f>
        <v>0</v>
      </c>
      <c r="U50" s="48"/>
      <c r="V50" s="37">
        <f>$AH$50/12</f>
        <v>0</v>
      </c>
      <c r="W50" s="48"/>
      <c r="X50" s="37">
        <f>$AH$50/12</f>
        <v>0</v>
      </c>
      <c r="Y50" s="48"/>
      <c r="Z50" s="37">
        <f>$AH$50/12</f>
        <v>0</v>
      </c>
      <c r="AA50" s="48"/>
      <c r="AB50" s="37">
        <f>$AH$50/12</f>
        <v>0</v>
      </c>
      <c r="AC50" s="48"/>
      <c r="AD50" s="37">
        <f>$AH$50/12</f>
        <v>0</v>
      </c>
      <c r="AE50" s="44">
        <f t="shared" si="10"/>
        <v>263.08000000000004</v>
      </c>
      <c r="AF50" s="44">
        <f t="shared" si="11"/>
        <v>0</v>
      </c>
      <c r="AG50" s="40">
        <f>AE50-AF50</f>
        <v>263.08000000000004</v>
      </c>
      <c r="AH50" s="41">
        <v>0</v>
      </c>
      <c r="AI50" s="41">
        <v>600</v>
      </c>
      <c r="AJ50" s="41">
        <v>600</v>
      </c>
    </row>
    <row r="51" spans="1:39" ht="18" thickBot="1" x14ac:dyDescent="0.35">
      <c r="A51" s="31"/>
      <c r="B51" s="31"/>
      <c r="C51" s="31"/>
      <c r="D51" s="31"/>
      <c r="E51" s="31" t="s">
        <v>49</v>
      </c>
      <c r="F51" s="31"/>
      <c r="G51" s="52">
        <f>SUM(G46:G50)</f>
        <v>12109.39</v>
      </c>
      <c r="H51" s="52">
        <f>$AH$51/12</f>
        <v>12158.333333333334</v>
      </c>
      <c r="I51" s="52">
        <f>SUM(I46:I50)</f>
        <v>12109.39</v>
      </c>
      <c r="J51" s="52">
        <f>$AH$51/12</f>
        <v>12158.333333333334</v>
      </c>
      <c r="K51" s="52">
        <f>SUM(K46:K50)</f>
        <v>12109.39</v>
      </c>
      <c r="L51" s="52">
        <f>$AH$51/12</f>
        <v>12158.333333333334</v>
      </c>
      <c r="M51" s="52">
        <f>SUM(M46:M50)</f>
        <v>12109.39</v>
      </c>
      <c r="N51" s="52">
        <f>$AH$51/12</f>
        <v>12158.333333333334</v>
      </c>
      <c r="O51" s="52">
        <f>SUM(O46:O50)</f>
        <v>12122.17</v>
      </c>
      <c r="P51" s="52">
        <f>$AH$51/12</f>
        <v>12158.333333333334</v>
      </c>
      <c r="Q51" s="52">
        <f>SUM(Q46:Q50)</f>
        <v>0</v>
      </c>
      <c r="R51" s="52">
        <f>$AH$51/12</f>
        <v>12158.333333333334</v>
      </c>
      <c r="S51" s="52">
        <f>SUM(S46:S50)</f>
        <v>0</v>
      </c>
      <c r="T51" s="52">
        <f>$AH$51/12</f>
        <v>12158.333333333334</v>
      </c>
      <c r="U51" s="52">
        <f>SUM(U46:U50)</f>
        <v>0</v>
      </c>
      <c r="V51" s="52">
        <f>$AH$51/12</f>
        <v>12158.333333333334</v>
      </c>
      <c r="W51" s="52">
        <f>SUM(W46:W50)</f>
        <v>0</v>
      </c>
      <c r="X51" s="52">
        <f>$AH$51/12</f>
        <v>12158.333333333334</v>
      </c>
      <c r="Y51" s="52">
        <f>SUM(Y46:Y50)</f>
        <v>0</v>
      </c>
      <c r="Z51" s="52">
        <f>$AH$51/12</f>
        <v>12158.333333333334</v>
      </c>
      <c r="AA51" s="52">
        <f>SUM(AA46:AA50)</f>
        <v>0</v>
      </c>
      <c r="AB51" s="52">
        <f>$AH$51/12</f>
        <v>12158.333333333334</v>
      </c>
      <c r="AC51" s="52">
        <f>SUM(AC46:AC50)</f>
        <v>0</v>
      </c>
      <c r="AD51" s="52">
        <f>$AH$51/12</f>
        <v>12158.333333333334</v>
      </c>
      <c r="AE51" s="44">
        <f t="shared" si="10"/>
        <v>60559.729999999996</v>
      </c>
      <c r="AF51" s="44">
        <f t="shared" si="11"/>
        <v>60791.666666666672</v>
      </c>
      <c r="AG51" s="53">
        <f>SUM(AG46:AG50)</f>
        <v>184.73000000000633</v>
      </c>
      <c r="AH51" s="46">
        <v>145900</v>
      </c>
      <c r="AI51" s="46">
        <f>SUM(AI46:AI50)</f>
        <v>146400</v>
      </c>
      <c r="AJ51" s="46">
        <f>SUM(AJ46:AJ50)</f>
        <v>146500</v>
      </c>
    </row>
    <row r="52" spans="1:39" ht="18" thickBot="1" x14ac:dyDescent="0.35">
      <c r="A52" s="31"/>
      <c r="B52" s="31"/>
      <c r="C52" s="31"/>
      <c r="D52" s="31" t="s">
        <v>50</v>
      </c>
      <c r="E52" s="31"/>
      <c r="F52" s="31"/>
      <c r="G52" s="52">
        <f>G51+G44+G38+G25</f>
        <v>18276.07</v>
      </c>
      <c r="H52" s="52">
        <f>$AH$52/12</f>
        <v>20415</v>
      </c>
      <c r="I52" s="52">
        <f>I51+I44+I38+I25</f>
        <v>18137.010000000002</v>
      </c>
      <c r="J52" s="52">
        <f>$AH$52/12</f>
        <v>20415</v>
      </c>
      <c r="K52" s="52">
        <f>K51+K44+K38+K25</f>
        <v>21315.79</v>
      </c>
      <c r="L52" s="52">
        <f>$AH$52/12</f>
        <v>20415</v>
      </c>
      <c r="M52" s="52">
        <f>M51+M44+M38+M25</f>
        <v>19129.36</v>
      </c>
      <c r="N52" s="52">
        <f>$AH$52/12</f>
        <v>20415</v>
      </c>
      <c r="O52" s="52">
        <f>O51+O44+O38+O25</f>
        <v>18379.14</v>
      </c>
      <c r="P52" s="52">
        <f>$AH$52/12</f>
        <v>20415</v>
      </c>
      <c r="Q52" s="52">
        <f>Q51+Q44+Q38+Q25</f>
        <v>0</v>
      </c>
      <c r="R52" s="52">
        <f>$AH$52/12</f>
        <v>20415</v>
      </c>
      <c r="S52" s="52">
        <f>S51+S44+S38+S25</f>
        <v>0</v>
      </c>
      <c r="T52" s="52">
        <f>$AH$52/12</f>
        <v>20415</v>
      </c>
      <c r="U52" s="52">
        <f>U51+U44+U38+U25</f>
        <v>0</v>
      </c>
      <c r="V52" s="52">
        <f>$AH$52/12</f>
        <v>20415</v>
      </c>
      <c r="W52" s="52">
        <f>W51+W44+W38+W25</f>
        <v>0</v>
      </c>
      <c r="X52" s="52">
        <f>$AH$52/12</f>
        <v>20415</v>
      </c>
      <c r="Y52" s="52">
        <f>Y51+Y44+Y38+Y25</f>
        <v>0</v>
      </c>
      <c r="Z52" s="52">
        <f>$AH$52/12</f>
        <v>20415</v>
      </c>
      <c r="AA52" s="52">
        <f>AA51+AA44+AA38+AA25</f>
        <v>0</v>
      </c>
      <c r="AB52" s="52">
        <f>$AH$52/12</f>
        <v>20415</v>
      </c>
      <c r="AC52" s="52">
        <f>AC51+AC44+AC38+AC25</f>
        <v>0</v>
      </c>
      <c r="AD52" s="52">
        <f>$AH$52/12</f>
        <v>20415</v>
      </c>
      <c r="AE52" s="44">
        <f t="shared" si="10"/>
        <v>95237.37000000001</v>
      </c>
      <c r="AF52" s="44">
        <f t="shared" si="11"/>
        <v>102075</v>
      </c>
      <c r="AG52" s="45">
        <f>AG51+AG44+AG38+AG25</f>
        <v>-6420.963333333325</v>
      </c>
      <c r="AH52" s="46">
        <v>244980</v>
      </c>
      <c r="AI52" s="46">
        <f>AI51+AI44+AI38+AI25</f>
        <v>538545</v>
      </c>
      <c r="AJ52" s="46">
        <f>AJ51+AJ44+AJ38+AJ25</f>
        <v>263010</v>
      </c>
    </row>
    <row r="53" spans="1:39" ht="32.4" customHeight="1" thickBot="1" x14ac:dyDescent="0.35"/>
    <row r="54" spans="1:39" ht="46.5" customHeight="1" x14ac:dyDescent="0.3">
      <c r="AH54" s="72" t="s">
        <v>104</v>
      </c>
      <c r="AI54" s="73"/>
      <c r="AJ54" s="73"/>
      <c r="AK54" s="74"/>
    </row>
    <row r="55" spans="1:39" ht="18" x14ac:dyDescent="0.3">
      <c r="AH55" s="56" t="s">
        <v>72</v>
      </c>
      <c r="AI55" s="25" t="s">
        <v>92</v>
      </c>
      <c r="AJ55" s="24" t="s">
        <v>73</v>
      </c>
      <c r="AK55" s="57" t="s">
        <v>91</v>
      </c>
      <c r="AL55" s="4">
        <f>(AJ6*AI56/4)</f>
        <v>2875.6068749999999</v>
      </c>
    </row>
    <row r="56" spans="1:39" ht="15.6" x14ac:dyDescent="0.3">
      <c r="AH56" s="58" t="s">
        <v>110</v>
      </c>
      <c r="AI56" s="26">
        <v>4.4999999999999998E-2</v>
      </c>
      <c r="AJ56" s="66">
        <f>SUM(AJ6*AI56)/4</f>
        <v>2875.6068749999999</v>
      </c>
      <c r="AK56" s="59">
        <v>375</v>
      </c>
      <c r="AL56">
        <f>AJ56*3</f>
        <v>8626.8206250000003</v>
      </c>
      <c r="AM56">
        <f>375*4*4</f>
        <v>6000</v>
      </c>
    </row>
    <row r="57" spans="1:39" ht="31.2" x14ac:dyDescent="0.3">
      <c r="AH57" s="58" t="s">
        <v>112</v>
      </c>
      <c r="AI57" s="26">
        <v>4.4999999999999998E-2</v>
      </c>
      <c r="AJ57" s="70">
        <f>SUM(AI57*AJ6)/4</f>
        <v>2875.6068749999999</v>
      </c>
      <c r="AK57" s="59">
        <v>0</v>
      </c>
      <c r="AL57">
        <f>AJ57*12</f>
        <v>34507.282500000001</v>
      </c>
    </row>
    <row r="58" spans="1:39" ht="16.2" thickBot="1" x14ac:dyDescent="0.35">
      <c r="AH58" s="67">
        <v>24</v>
      </c>
      <c r="AI58" s="61">
        <v>3.5999999999999997E-2</v>
      </c>
      <c r="AJ58" s="70">
        <f>AI58*AJ6/4</f>
        <v>2300.4854999999998</v>
      </c>
      <c r="AK58" s="68">
        <v>375</v>
      </c>
      <c r="AL58">
        <f>AJ58*1</f>
        <v>2300.4854999999998</v>
      </c>
    </row>
    <row r="59" spans="1:39" ht="31.8" thickBot="1" x14ac:dyDescent="0.35">
      <c r="AH59" s="60" t="s">
        <v>109</v>
      </c>
      <c r="AI59" s="61">
        <v>3.5999999999999997E-2</v>
      </c>
      <c r="AJ59" s="66">
        <f>SUM(AJ6*AI59)/4</f>
        <v>2300.4854999999998</v>
      </c>
      <c r="AK59" s="62">
        <v>0</v>
      </c>
      <c r="AL59" s="4">
        <f>AJ59*8</f>
        <v>18403.883999999998</v>
      </c>
    </row>
    <row r="60" spans="1:39" x14ac:dyDescent="0.3">
      <c r="AL60">
        <f>SUM(AL56:AL59)</f>
        <v>63838.472625000002</v>
      </c>
    </row>
    <row r="61" spans="1:39" x14ac:dyDescent="0.3">
      <c r="AL61">
        <f>AL60*4</f>
        <v>255353.89050000001</v>
      </c>
    </row>
  </sheetData>
  <sheetProtection formatCells="0" formatColumns="0" formatRows="0"/>
  <mergeCells count="5">
    <mergeCell ref="AL4:AP4"/>
    <mergeCell ref="AL10:AN10"/>
    <mergeCell ref="AL17:AP17"/>
    <mergeCell ref="AL23:AN23"/>
    <mergeCell ref="AH54:AK54"/>
  </mergeCells>
  <pageMargins left="0.25" right="0.25" top="0.75" bottom="0.75" header="0.3" footer="0.3"/>
  <pageSetup scale="50" orientation="portrait" horizontalDpi="300" verticalDpi="300" r:id="rId1"/>
  <headerFooter>
    <oddHeader>&amp;L&amp;"Arial,Bold" Accrual Basis&amp;C&amp;"Arial,Bold"&amp;12 HILLSBORO MILE OCEAN APARTMENTS SECT 4, INC..
&amp;14Budget January 1, 2025 to December 31, 2025</oddHeader>
    <oddFooter>&amp;R&amp;"Arial,Bold"&amp;11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4</xdr:col>
                <xdr:colOff>144780</xdr:colOff>
                <xdr:row>2</xdr:row>
                <xdr:rowOff>228600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4</xdr:col>
                <xdr:colOff>144780</xdr:colOff>
                <xdr:row>2</xdr:row>
                <xdr:rowOff>228600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A3E9-6C37-4615-823F-738879D17A95}">
  <dimension ref="A1:G19"/>
  <sheetViews>
    <sheetView workbookViewId="0">
      <selection activeCell="C18" sqref="C18"/>
    </sheetView>
  </sheetViews>
  <sheetFormatPr defaultColWidth="8.88671875" defaultRowHeight="14.4" x14ac:dyDescent="0.3"/>
  <cols>
    <col min="1" max="1" width="29.109375" bestFit="1" customWidth="1"/>
    <col min="2" max="2" width="11.33203125" customWidth="1"/>
    <col min="3" max="3" width="12.44140625" customWidth="1"/>
    <col min="4" max="4" width="13.5546875" bestFit="1" customWidth="1"/>
    <col min="5" max="5" width="11.109375" customWidth="1"/>
    <col min="6" max="6" width="11.44140625" customWidth="1"/>
    <col min="7" max="7" width="16.5546875" customWidth="1"/>
  </cols>
  <sheetData>
    <row r="1" spans="1:7" ht="23.25" customHeight="1" x14ac:dyDescent="0.3">
      <c r="A1" s="78" t="s">
        <v>88</v>
      </c>
      <c r="B1" s="79"/>
      <c r="C1" s="79"/>
      <c r="D1" s="79"/>
      <c r="E1" s="79"/>
      <c r="F1" s="79"/>
      <c r="G1" s="80"/>
    </row>
    <row r="2" spans="1:7" ht="57.6" x14ac:dyDescent="0.3">
      <c r="A2" s="8" t="s">
        <v>76</v>
      </c>
      <c r="B2" s="8" t="s">
        <v>77</v>
      </c>
      <c r="C2" s="8" t="s">
        <v>78</v>
      </c>
      <c r="D2" s="8" t="s">
        <v>79</v>
      </c>
      <c r="E2" s="8" t="s">
        <v>80</v>
      </c>
      <c r="F2" s="8" t="s">
        <v>108</v>
      </c>
      <c r="G2" s="8" t="s">
        <v>81</v>
      </c>
    </row>
    <row r="3" spans="1:7" x14ac:dyDescent="0.3">
      <c r="A3" s="6" t="s">
        <v>82</v>
      </c>
      <c r="B3" s="10">
        <v>20</v>
      </c>
      <c r="C3" s="10">
        <v>2</v>
      </c>
      <c r="D3" s="11">
        <v>200000</v>
      </c>
      <c r="E3" s="10">
        <v>25</v>
      </c>
      <c r="F3" s="11">
        <v>0</v>
      </c>
      <c r="G3" s="11">
        <f>D3/3</f>
        <v>66666.666666666672</v>
      </c>
    </row>
    <row r="4" spans="1:7" x14ac:dyDescent="0.3">
      <c r="A4" s="6" t="s">
        <v>83</v>
      </c>
      <c r="B4" s="10">
        <v>50</v>
      </c>
      <c r="C4" s="10">
        <v>3</v>
      </c>
      <c r="D4" s="11">
        <v>50000</v>
      </c>
      <c r="E4" s="10">
        <v>20</v>
      </c>
      <c r="F4" s="11">
        <v>0</v>
      </c>
      <c r="G4" s="11">
        <f>D4/3</f>
        <v>16666.666666666668</v>
      </c>
    </row>
    <row r="5" spans="1:7" x14ac:dyDescent="0.3">
      <c r="A5" s="6" t="s">
        <v>89</v>
      </c>
      <c r="B5" s="10">
        <v>40</v>
      </c>
      <c r="C5" s="10">
        <v>8</v>
      </c>
      <c r="D5" s="11">
        <v>200000</v>
      </c>
      <c r="E5" s="10">
        <v>20</v>
      </c>
      <c r="F5" s="11">
        <v>0</v>
      </c>
      <c r="G5" s="11">
        <f>D5/8</f>
        <v>25000</v>
      </c>
    </row>
    <row r="6" spans="1:7" x14ac:dyDescent="0.3">
      <c r="A6" s="6" t="s">
        <v>84</v>
      </c>
      <c r="B6" s="10">
        <v>20</v>
      </c>
      <c r="C6" s="10">
        <v>20</v>
      </c>
      <c r="D6" s="11">
        <v>400000</v>
      </c>
      <c r="E6" s="10">
        <v>25</v>
      </c>
      <c r="F6" s="11">
        <v>0</v>
      </c>
      <c r="G6" s="11">
        <f>D6/20</f>
        <v>20000</v>
      </c>
    </row>
    <row r="7" spans="1:7" x14ac:dyDescent="0.3">
      <c r="A7" s="6" t="s">
        <v>85</v>
      </c>
      <c r="B7" s="10">
        <v>8</v>
      </c>
      <c r="C7" s="10">
        <v>7</v>
      </c>
      <c r="D7" s="11">
        <v>40000</v>
      </c>
      <c r="E7" s="10">
        <v>10</v>
      </c>
      <c r="F7" s="11">
        <v>0</v>
      </c>
      <c r="G7" s="11">
        <f>D7/7</f>
        <v>5714.2857142857147</v>
      </c>
    </row>
    <row r="8" spans="1:7" x14ac:dyDescent="0.3">
      <c r="A8" s="6" t="s">
        <v>86</v>
      </c>
      <c r="B8" s="13"/>
      <c r="C8" s="13"/>
      <c r="D8" s="23">
        <f>SUM(D3:D7)</f>
        <v>890000</v>
      </c>
      <c r="E8" s="14">
        <f>SUM(E3:E7)</f>
        <v>100</v>
      </c>
      <c r="F8" s="12">
        <f>SUM(F3:F7)</f>
        <v>0</v>
      </c>
      <c r="G8" s="23">
        <f>SUM(G3:G7)</f>
        <v>134047.61904761905</v>
      </c>
    </row>
    <row r="10" spans="1:7" ht="15" customHeight="1" x14ac:dyDescent="0.3">
      <c r="A10" s="81" t="s">
        <v>87</v>
      </c>
      <c r="B10" s="81"/>
      <c r="C10" s="81"/>
      <c r="D10" s="81"/>
      <c r="E10" s="81"/>
      <c r="F10" s="81"/>
      <c r="G10" s="81"/>
    </row>
    <row r="11" spans="1:7" x14ac:dyDescent="0.3">
      <c r="A11" s="81"/>
      <c r="B11" s="81"/>
      <c r="C11" s="81"/>
      <c r="D11" s="81"/>
      <c r="E11" s="81"/>
      <c r="F11" s="81"/>
      <c r="G11" s="81"/>
    </row>
    <row r="12" spans="1:7" x14ac:dyDescent="0.3">
      <c r="A12" s="81"/>
      <c r="B12" s="81"/>
      <c r="C12" s="81"/>
      <c r="D12" s="81"/>
      <c r="E12" s="81"/>
      <c r="F12" s="81"/>
      <c r="G12" s="81"/>
    </row>
    <row r="15" spans="1:7" ht="28.8" x14ac:dyDescent="0.3">
      <c r="A15" s="9" t="s">
        <v>72</v>
      </c>
      <c r="B15" s="9" t="s">
        <v>92</v>
      </c>
      <c r="C15" s="9" t="s">
        <v>73</v>
      </c>
      <c r="D15" s="9" t="s">
        <v>91</v>
      </c>
      <c r="E15" s="9" t="s">
        <v>74</v>
      </c>
      <c r="F15" s="9" t="s">
        <v>96</v>
      </c>
      <c r="G15" s="9" t="s">
        <v>97</v>
      </c>
    </row>
    <row r="16" spans="1:7" x14ac:dyDescent="0.3">
      <c r="A16" s="13" t="s">
        <v>111</v>
      </c>
      <c r="B16" s="14">
        <v>4.4999999999999998E-2</v>
      </c>
      <c r="C16" s="64">
        <f>SUM('2025'!AJ56)</f>
        <v>2875.6068749999999</v>
      </c>
      <c r="D16" s="64">
        <v>375</v>
      </c>
      <c r="E16" s="64">
        <f>SUM(C16+D16)</f>
        <v>3250.6068749999999</v>
      </c>
      <c r="F16" s="64">
        <f>G8*B16/4</f>
        <v>1508.0357142857142</v>
      </c>
      <c r="G16" s="64">
        <f>F16*0.4</f>
        <v>603.21428571428567</v>
      </c>
    </row>
    <row r="17" spans="1:7" x14ac:dyDescent="0.3">
      <c r="A17" s="13" t="s">
        <v>112</v>
      </c>
      <c r="B17" s="14">
        <v>4.4999999999999998E-2</v>
      </c>
      <c r="C17" s="64">
        <f>'2025'!AJ57</f>
        <v>2875.6068749999999</v>
      </c>
      <c r="D17" s="64">
        <v>0</v>
      </c>
      <c r="E17" s="64">
        <f>C17</f>
        <v>2875.6068749999999</v>
      </c>
      <c r="F17" s="64">
        <f>G8*B17/4</f>
        <v>1508.0357142857142</v>
      </c>
      <c r="G17" s="64">
        <f>F17*0.4</f>
        <v>603.21428571428567</v>
      </c>
    </row>
    <row r="18" spans="1:7" x14ac:dyDescent="0.3">
      <c r="A18" s="69">
        <v>24</v>
      </c>
      <c r="B18" s="14">
        <v>3.5999999999999997E-2</v>
      </c>
      <c r="C18" s="71">
        <v>2246</v>
      </c>
      <c r="D18" s="64">
        <v>375</v>
      </c>
      <c r="E18" s="64">
        <f>D18+C18</f>
        <v>2621</v>
      </c>
      <c r="F18" s="64">
        <v>1206</v>
      </c>
      <c r="G18" s="64">
        <v>483</v>
      </c>
    </row>
    <row r="19" spans="1:7" x14ac:dyDescent="0.3">
      <c r="A19" s="13" t="s">
        <v>109</v>
      </c>
      <c r="B19" s="14">
        <v>3.5999999999999997E-2</v>
      </c>
      <c r="C19" s="64">
        <f>'2025'!AJ59</f>
        <v>2300.4854999999998</v>
      </c>
      <c r="D19" s="64">
        <v>0</v>
      </c>
      <c r="E19" s="64">
        <f>SUM(C19)</f>
        <v>2300.4854999999998</v>
      </c>
      <c r="F19" s="64">
        <f>G8*B19/4</f>
        <v>1206.4285714285713</v>
      </c>
      <c r="G19" s="64">
        <f>F19*0.4</f>
        <v>482.57142857142856</v>
      </c>
    </row>
  </sheetData>
  <mergeCells count="2">
    <mergeCell ref="A1:G1"/>
    <mergeCell ref="A10:G12"/>
  </mergeCells>
  <pageMargins left="0.25" right="0.25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</vt:lpstr>
      <vt:lpstr>Reserves 2025</vt:lpstr>
      <vt:lpstr>'2025'!Print_Area</vt:lpstr>
      <vt:lpstr>'2025'!Print_Titles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TW-WS3</dc:creator>
  <cp:lastModifiedBy>jamie blum</cp:lastModifiedBy>
  <cp:lastPrinted>2024-10-28T18:15:04Z</cp:lastPrinted>
  <dcterms:created xsi:type="dcterms:W3CDTF">2022-02-05T15:57:39Z</dcterms:created>
  <dcterms:modified xsi:type="dcterms:W3CDTF">2025-03-02T22:26:05Z</dcterms:modified>
</cp:coreProperties>
</file>