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business forms 1\highland grove\"/>
    </mc:Choice>
  </mc:AlternateContent>
  <xr:revisionPtr revIDLastSave="0" documentId="8_{8F453EA3-7AA2-40C9-9694-75FBBBCA5953}" xr6:coauthVersionLast="47" xr6:coauthVersionMax="47" xr10:uidLastSave="{00000000-0000-0000-0000-000000000000}"/>
  <bookViews>
    <workbookView xWindow="-110" yWindow="-110" windowWidth="25820" windowHeight="15500" xr2:uid="{EF92A1D6-7C27-480B-8B7F-47537690863C}"/>
  </bookViews>
  <sheets>
    <sheet name="Sheet1" sheetId="1" r:id="rId1"/>
  </sheets>
  <definedNames>
    <definedName name="_xlnm.Print_Area" localSheetId="0">Sheet1!$A$1:$F$55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5" i="1"/>
  <c r="F33" i="1"/>
  <c r="C52" i="1"/>
  <c r="C50" i="1"/>
  <c r="C47" i="1"/>
  <c r="F42" i="1"/>
  <c r="F38" i="1"/>
  <c r="F43" i="1" s="1"/>
  <c r="C53" i="1" s="1"/>
  <c r="C54" i="1" s="1"/>
  <c r="C55" i="1" s="1"/>
  <c r="F28" i="1"/>
  <c r="F26" i="1"/>
  <c r="F21" i="1"/>
  <c r="K12" i="1"/>
  <c r="K13" i="1" s="1"/>
  <c r="K11" i="1"/>
  <c r="L5" i="1"/>
  <c r="L6" i="1"/>
  <c r="D36" i="1"/>
  <c r="D37" i="1"/>
  <c r="D17" i="1"/>
  <c r="D12" i="1"/>
  <c r="D28" i="1"/>
  <c r="D24" i="1"/>
  <c r="D25" i="1"/>
  <c r="D11" i="1"/>
  <c r="D30" i="1"/>
  <c r="D19" i="1"/>
  <c r="D23" i="1"/>
  <c r="D5" i="1"/>
  <c r="E28" i="1"/>
  <c r="C28" i="1"/>
  <c r="C5" i="1" l="1"/>
  <c r="C8" i="1" s="1"/>
  <c r="D42" i="1"/>
  <c r="D8" i="1"/>
  <c r="E42" i="1"/>
  <c r="E38" i="1"/>
  <c r="E26" i="1"/>
  <c r="E21" i="1"/>
  <c r="D26" i="1" l="1"/>
  <c r="D21" i="1"/>
  <c r="C42" i="1"/>
  <c r="C38" i="1"/>
  <c r="C26" i="1"/>
  <c r="C21" i="1"/>
  <c r="E43" i="1"/>
  <c r="C45" i="1" l="1"/>
  <c r="C46" i="1" s="1"/>
  <c r="E5" i="1" s="1"/>
  <c r="E8" i="1" s="1"/>
  <c r="C43" i="1"/>
  <c r="D38" i="1"/>
  <c r="D43" i="1" s="1"/>
</calcChain>
</file>

<file path=xl/sharedStrings.xml><?xml version="1.0" encoding="utf-8"?>
<sst xmlns="http://schemas.openxmlformats.org/spreadsheetml/2006/main" count="63" uniqueCount="60">
  <si>
    <t>Highland Grove Estates Homeowners Association, Inc.</t>
  </si>
  <si>
    <t>Account</t>
  </si>
  <si>
    <t>Description</t>
  </si>
  <si>
    <t>2024 Approved Budget</t>
  </si>
  <si>
    <t>INCOME</t>
  </si>
  <si>
    <t>Late Fees</t>
  </si>
  <si>
    <t>Interest Income</t>
  </si>
  <si>
    <t xml:space="preserve">    sub-total</t>
  </si>
  <si>
    <t>EXPENSES</t>
  </si>
  <si>
    <t>General &amp; Administrative</t>
  </si>
  <si>
    <t>JSB Mgmt Fees</t>
  </si>
  <si>
    <t>Accounting</t>
  </si>
  <si>
    <t>AVID Expenses</t>
  </si>
  <si>
    <t>Administrative Bank Fees</t>
  </si>
  <si>
    <t>Permit - Pool  - Water Quality</t>
  </si>
  <si>
    <t>Permit - Pool - Fire &amp; Safety GATE</t>
  </si>
  <si>
    <t>Permit - Fire Extinguisher</t>
  </si>
  <si>
    <t>Insurance - Casualty, Liability, D&amp;O</t>
  </si>
  <si>
    <t>Legal Fees</t>
  </si>
  <si>
    <t>Utilities</t>
  </si>
  <si>
    <t>Electricity</t>
  </si>
  <si>
    <t>Water &amp; Sewer</t>
  </si>
  <si>
    <t>Telephone @ Gate</t>
  </si>
  <si>
    <t>Maintenance - Regular</t>
  </si>
  <si>
    <t>Rust Control - Rust Tech</t>
  </si>
  <si>
    <t>Pool Service - Clear Image/Top Notch</t>
  </si>
  <si>
    <t>Pool - Miscellaneous Maintenance</t>
  </si>
  <si>
    <t>Lift Station - Maintenance Contract</t>
  </si>
  <si>
    <t xml:space="preserve">    subtotal</t>
  </si>
  <si>
    <t>Maintenance - Periodic</t>
  </si>
  <si>
    <t xml:space="preserve"> </t>
  </si>
  <si>
    <t>ROOF INSPECTIONS ($195 X 14)</t>
  </si>
  <si>
    <t>TOTAL EXPENSES</t>
  </si>
  <si>
    <t xml:space="preserve">General/Miscellaneous </t>
  </si>
  <si>
    <t>ROOF CLEANING &amp; MAINTENANCE</t>
  </si>
  <si>
    <t>Pest Control - Hometown</t>
  </si>
  <si>
    <t xml:space="preserve">Irrigation Service, Maintenance </t>
  </si>
  <si>
    <t xml:space="preserve">Gate - Expense </t>
  </si>
  <si>
    <t>Postage &amp; Office Supplies</t>
  </si>
  <si>
    <t>Landscaping &amp; Tree Service</t>
  </si>
  <si>
    <t>Irrigation Service &amp; Rust</t>
  </si>
  <si>
    <t>2024 Actual (up to 12/31/2024)</t>
  </si>
  <si>
    <t xml:space="preserve">Monthly Dues </t>
  </si>
  <si>
    <t>from 23</t>
  </si>
  <si>
    <t>Income 24</t>
  </si>
  <si>
    <t>Expenses 24</t>
  </si>
  <si>
    <t>Income Jan 25</t>
  </si>
  <si>
    <t>Sandra 1 to 12, 25</t>
  </si>
  <si>
    <t>2025 Approved Budget</t>
  </si>
  <si>
    <t>2025 Proposed Updated Budget</t>
  </si>
  <si>
    <t>2025 Approved Annual Operating Budget</t>
  </si>
  <si>
    <t>2025 Approved Monthly Association Fees Due</t>
  </si>
  <si>
    <t>2025 Approved Monthly Payable Per Unit (Jan - Dec)</t>
  </si>
  <si>
    <t>2025 Monthly Payable Per Unit (Jan - Dec)</t>
  </si>
  <si>
    <t>Collected Until March</t>
  </si>
  <si>
    <t>To be collected on June 1st</t>
  </si>
  <si>
    <t>Sub Total</t>
  </si>
  <si>
    <t xml:space="preserve">To be collected the rest of the year </t>
  </si>
  <si>
    <t>To be collected per month</t>
  </si>
  <si>
    <t>2025 Proposed Monthly Payable Per Unit (Apr - 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</si>
</sst>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164" fontId="2" fillId="2" borderId="1" xfId="0" applyNumberFormat="1" applyFont="1" applyFill="1" applyBorder="1"/>
    <xf numFmtId="16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164" fontId="3" fillId="3" borderId="0" xfId="0" applyNumberFormat="1" applyFont="1" applyFill="1"/>
    <xf numFmtId="164" fontId="3" fillId="0" borderId="0" xfId="0" applyNumberFormat="1" applyFont="1"/>
    <xf numFmtId="164" fontId="3" fillId="0" borderId="2" xfId="0" applyNumberFormat="1" applyFont="1" applyBorder="1"/>
    <xf numFmtId="0" fontId="3" fillId="3" borderId="1" xfId="0" applyFont="1" applyFill="1" applyBorder="1" applyAlignment="1">
      <alignment wrapText="1"/>
    </xf>
    <xf numFmtId="164" fontId="2" fillId="4" borderId="1" xfId="0" applyNumberFormat="1" applyFont="1" applyFill="1" applyBorder="1"/>
    <xf numFmtId="10" fontId="3" fillId="3" borderId="0" xfId="0" applyNumberFormat="1" applyFont="1" applyFill="1"/>
    <xf numFmtId="0" fontId="0" fillId="3" borderId="0" xfId="0" applyFill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5542-D9B0-48A3-B2CC-7FACD29DC5DF}">
  <sheetPr>
    <pageSetUpPr fitToPage="1"/>
  </sheetPr>
  <dimension ref="A1:L55"/>
  <sheetViews>
    <sheetView tabSelected="1" view="pageBreakPreview" topLeftCell="A8" zoomScale="60" zoomScaleNormal="100" workbookViewId="0">
      <selection activeCell="B3" sqref="B3"/>
    </sheetView>
  </sheetViews>
  <sheetFormatPr defaultRowHeight="14.5" x14ac:dyDescent="0.35"/>
  <cols>
    <col min="2" max="2" width="33.1796875" customWidth="1"/>
    <col min="3" max="3" width="15.36328125" customWidth="1"/>
    <col min="4" max="4" width="15.6328125" style="16" customWidth="1"/>
    <col min="5" max="5" width="14.54296875" customWidth="1"/>
    <col min="6" max="6" width="12.54296875" customWidth="1"/>
    <col min="10" max="10" width="15.1796875" customWidth="1"/>
    <col min="11" max="11" width="12.54296875" customWidth="1"/>
    <col min="12" max="12" width="10.08984375" bestFit="1" customWidth="1"/>
  </cols>
  <sheetData>
    <row r="1" spans="1:12" x14ac:dyDescent="0.35">
      <c r="A1" s="20" t="s">
        <v>0</v>
      </c>
      <c r="B1" s="20"/>
      <c r="C1" s="20"/>
      <c r="D1" s="20"/>
      <c r="E1" s="20"/>
    </row>
    <row r="2" spans="1:12" x14ac:dyDescent="0.35">
      <c r="A2" s="21"/>
      <c r="B2" s="21"/>
      <c r="C2" s="21"/>
      <c r="D2" s="21"/>
      <c r="E2" s="21"/>
    </row>
    <row r="3" spans="1:12" ht="60.65" customHeight="1" x14ac:dyDescent="0.35">
      <c r="A3" s="1" t="s">
        <v>1</v>
      </c>
      <c r="B3" s="22" t="s">
        <v>2</v>
      </c>
      <c r="C3" s="33" t="s">
        <v>3</v>
      </c>
      <c r="D3" s="34" t="s">
        <v>41</v>
      </c>
      <c r="E3" s="35" t="s">
        <v>48</v>
      </c>
      <c r="F3" s="35" t="s">
        <v>49</v>
      </c>
    </row>
    <row r="4" spans="1:12" ht="18.5" customHeight="1" x14ac:dyDescent="0.35">
      <c r="A4" s="2" t="s">
        <v>4</v>
      </c>
      <c r="B4" s="4"/>
      <c r="C4" s="23"/>
      <c r="D4" s="24"/>
      <c r="E4" s="25"/>
      <c r="F4" s="26"/>
    </row>
    <row r="5" spans="1:12" ht="18.5" customHeight="1" x14ac:dyDescent="0.35">
      <c r="A5" s="3"/>
      <c r="B5" s="4" t="s">
        <v>42</v>
      </c>
      <c r="C5" s="23">
        <f>550*12*13</f>
        <v>85800</v>
      </c>
      <c r="D5" s="24">
        <f>68450+6890+6890</f>
        <v>82230</v>
      </c>
      <c r="E5" s="25">
        <f>C47*12*13</f>
        <v>88192.999999999985</v>
      </c>
      <c r="F5" s="25">
        <f>C48*3*13+13*1000+C55*9*13</f>
        <v>108082</v>
      </c>
      <c r="J5">
        <v>23</v>
      </c>
      <c r="K5">
        <v>34872.49</v>
      </c>
      <c r="L5" s="17">
        <f>+K5+D5-D43</f>
        <v>4923.6500000000087</v>
      </c>
    </row>
    <row r="6" spans="1:12" ht="18.5" customHeight="1" x14ac:dyDescent="0.35">
      <c r="A6" s="3"/>
      <c r="B6" s="4" t="s">
        <v>5</v>
      </c>
      <c r="C6" s="23"/>
      <c r="D6" s="24">
        <v>75</v>
      </c>
      <c r="E6" s="25"/>
      <c r="F6" s="27"/>
      <c r="J6">
        <v>24</v>
      </c>
      <c r="K6">
        <v>16299.22</v>
      </c>
      <c r="L6" s="17">
        <f>+D8+K6</f>
        <v>98646.52</v>
      </c>
    </row>
    <row r="7" spans="1:12" ht="18.5" customHeight="1" x14ac:dyDescent="0.35">
      <c r="A7" s="3"/>
      <c r="B7" s="4" t="s">
        <v>6</v>
      </c>
      <c r="C7" s="23"/>
      <c r="D7" s="24">
        <v>42.3</v>
      </c>
      <c r="E7" s="25"/>
      <c r="F7" s="27"/>
    </row>
    <row r="8" spans="1:12" ht="18.5" customHeight="1" x14ac:dyDescent="0.35">
      <c r="A8" s="3"/>
      <c r="B8" s="1" t="s">
        <v>7</v>
      </c>
      <c r="C8" s="28">
        <f>SUM(C5:C7)</f>
        <v>85800</v>
      </c>
      <c r="D8" s="29">
        <f>SUM(D5:D7)</f>
        <v>82347.3</v>
      </c>
      <c r="E8" s="30">
        <f>SUM(E5:E7)</f>
        <v>88192.999999999985</v>
      </c>
      <c r="F8" s="30">
        <f>SUM(F5:F7)</f>
        <v>108082</v>
      </c>
      <c r="J8" t="s">
        <v>43</v>
      </c>
      <c r="K8">
        <v>34872.49</v>
      </c>
    </row>
    <row r="9" spans="1:12" ht="18.5" customHeight="1" x14ac:dyDescent="0.35">
      <c r="A9" s="2" t="s">
        <v>8</v>
      </c>
      <c r="B9" s="4"/>
      <c r="C9" s="23"/>
      <c r="D9" s="24"/>
      <c r="E9" s="25"/>
      <c r="F9" s="27"/>
      <c r="J9" t="s">
        <v>44</v>
      </c>
      <c r="K9" s="14">
        <v>82347.3</v>
      </c>
    </row>
    <row r="10" spans="1:12" ht="18.5" customHeight="1" x14ac:dyDescent="0.35">
      <c r="A10" s="2" t="s">
        <v>9</v>
      </c>
      <c r="B10" s="1"/>
      <c r="C10" s="23"/>
      <c r="D10" s="24"/>
      <c r="E10" s="25"/>
      <c r="F10" s="23"/>
      <c r="J10" t="s">
        <v>45</v>
      </c>
      <c r="K10" s="14">
        <v>-112178.84</v>
      </c>
    </row>
    <row r="11" spans="1:12" ht="18.5" customHeight="1" x14ac:dyDescent="0.35">
      <c r="A11" s="3"/>
      <c r="B11" s="4" t="s">
        <v>10</v>
      </c>
      <c r="C11" s="23">
        <v>3600</v>
      </c>
      <c r="D11" s="24">
        <f>2700+300+300+300</f>
        <v>3600</v>
      </c>
      <c r="E11" s="25">
        <v>3600</v>
      </c>
      <c r="F11" s="23">
        <v>3600</v>
      </c>
      <c r="J11" t="s">
        <v>46</v>
      </c>
      <c r="K11">
        <f>SUM(K8:K10)</f>
        <v>5040.9500000000116</v>
      </c>
    </row>
    <row r="12" spans="1:12" ht="18.5" customHeight="1" x14ac:dyDescent="0.35">
      <c r="A12" s="3"/>
      <c r="B12" s="4" t="s">
        <v>38</v>
      </c>
      <c r="C12" s="23">
        <v>200</v>
      </c>
      <c r="D12" s="24">
        <f>453.28+185.4</f>
        <v>638.67999999999995</v>
      </c>
      <c r="E12" s="25">
        <v>200</v>
      </c>
      <c r="F12" s="23">
        <v>200</v>
      </c>
      <c r="J12" t="s">
        <v>47</v>
      </c>
      <c r="K12">
        <f>565*13+565*11</f>
        <v>13560</v>
      </c>
    </row>
    <row r="13" spans="1:12" ht="18.5" customHeight="1" x14ac:dyDescent="0.35">
      <c r="A13" s="3"/>
      <c r="B13" s="4" t="s">
        <v>11</v>
      </c>
      <c r="C13" s="23">
        <v>350</v>
      </c>
      <c r="D13" s="24">
        <v>250</v>
      </c>
      <c r="E13" s="25">
        <v>360</v>
      </c>
      <c r="F13" s="23">
        <v>360</v>
      </c>
      <c r="K13">
        <f>K11+K12</f>
        <v>18600.950000000012</v>
      </c>
    </row>
    <row r="14" spans="1:12" ht="18.5" customHeight="1" x14ac:dyDescent="0.35">
      <c r="A14" s="3"/>
      <c r="B14" s="4" t="s">
        <v>12</v>
      </c>
      <c r="C14" s="23">
        <v>375</v>
      </c>
      <c r="D14" s="24"/>
      <c r="E14" s="25">
        <v>380</v>
      </c>
      <c r="F14" s="23">
        <v>380</v>
      </c>
    </row>
    <row r="15" spans="1:12" ht="18.5" customHeight="1" x14ac:dyDescent="0.35">
      <c r="A15" s="3"/>
      <c r="B15" s="4" t="s">
        <v>13</v>
      </c>
      <c r="C15" s="23">
        <v>50</v>
      </c>
      <c r="D15" s="24"/>
      <c r="E15" s="25">
        <v>50</v>
      </c>
      <c r="F15" s="23">
        <v>50</v>
      </c>
    </row>
    <row r="16" spans="1:12" ht="18.5" customHeight="1" x14ac:dyDescent="0.35">
      <c r="A16" s="3"/>
      <c r="B16" s="4" t="s">
        <v>14</v>
      </c>
      <c r="C16" s="23">
        <v>650</v>
      </c>
      <c r="D16" s="24"/>
      <c r="E16" s="25">
        <v>670</v>
      </c>
      <c r="F16" s="23">
        <v>670</v>
      </c>
    </row>
    <row r="17" spans="1:6" ht="18.5" customHeight="1" x14ac:dyDescent="0.35">
      <c r="A17" s="3"/>
      <c r="B17" s="4" t="s">
        <v>15</v>
      </c>
      <c r="C17" s="23">
        <v>70</v>
      </c>
      <c r="D17" s="24">
        <f>311.6</f>
        <v>311.60000000000002</v>
      </c>
      <c r="E17" s="25">
        <v>80</v>
      </c>
      <c r="F17" s="23">
        <v>80</v>
      </c>
    </row>
    <row r="18" spans="1:6" ht="18.5" customHeight="1" x14ac:dyDescent="0.35">
      <c r="A18" s="3"/>
      <c r="B18" s="4" t="s">
        <v>16</v>
      </c>
      <c r="C18" s="23">
        <v>100</v>
      </c>
      <c r="D18" s="24">
        <v>126.59</v>
      </c>
      <c r="E18" s="25">
        <v>100</v>
      </c>
      <c r="F18" s="23">
        <v>100</v>
      </c>
    </row>
    <row r="19" spans="1:6" ht="18.5" customHeight="1" x14ac:dyDescent="0.35">
      <c r="A19" s="3"/>
      <c r="B19" s="4" t="s">
        <v>17</v>
      </c>
      <c r="C19" s="23">
        <v>7485</v>
      </c>
      <c r="D19" s="24">
        <f>8206.83+1839.5+919.75+919.75</f>
        <v>11885.83</v>
      </c>
      <c r="E19" s="25">
        <v>13173</v>
      </c>
      <c r="F19" s="23">
        <v>13173</v>
      </c>
    </row>
    <row r="20" spans="1:6" ht="18.5" customHeight="1" x14ac:dyDescent="0.35">
      <c r="A20" s="3"/>
      <c r="B20" s="4" t="s">
        <v>18</v>
      </c>
      <c r="C20" s="23">
        <v>10000</v>
      </c>
      <c r="D20" s="24">
        <v>43862.94</v>
      </c>
      <c r="E20" s="25">
        <v>20000</v>
      </c>
      <c r="F20" s="23">
        <v>40000</v>
      </c>
    </row>
    <row r="21" spans="1:6" ht="18.5" customHeight="1" x14ac:dyDescent="0.35">
      <c r="A21" s="3"/>
      <c r="B21" s="1" t="s">
        <v>7</v>
      </c>
      <c r="C21" s="31">
        <f>SUM(C11:C20)</f>
        <v>22880</v>
      </c>
      <c r="D21" s="29">
        <f>SUM(D11:D20)</f>
        <v>60675.64</v>
      </c>
      <c r="E21" s="30">
        <f>SUM(E11:E20)</f>
        <v>38613</v>
      </c>
      <c r="F21" s="30">
        <f>SUM(F11:F20)</f>
        <v>58613</v>
      </c>
    </row>
    <row r="22" spans="1:6" ht="18.5" customHeight="1" x14ac:dyDescent="0.35">
      <c r="A22" s="2" t="s">
        <v>19</v>
      </c>
      <c r="B22" s="4"/>
      <c r="C22" s="23"/>
      <c r="D22" s="24"/>
      <c r="E22" s="32"/>
      <c r="F22" s="23"/>
    </row>
    <row r="23" spans="1:6" ht="18.5" customHeight="1" x14ac:dyDescent="0.35">
      <c r="A23" s="3"/>
      <c r="B23" s="4" t="s">
        <v>20</v>
      </c>
      <c r="C23" s="23">
        <v>3700</v>
      </c>
      <c r="D23" s="24">
        <f>2237.86+222.04+247.21+224.74</f>
        <v>2931.8500000000004</v>
      </c>
      <c r="E23" s="25">
        <v>3700</v>
      </c>
      <c r="F23" s="23">
        <v>3700</v>
      </c>
    </row>
    <row r="24" spans="1:6" ht="18.5" customHeight="1" x14ac:dyDescent="0.35">
      <c r="A24" s="3"/>
      <c r="B24" s="4" t="s">
        <v>21</v>
      </c>
      <c r="C24" s="23">
        <v>1400</v>
      </c>
      <c r="D24" s="24">
        <f>831.51+249.02+282.31+298.67</f>
        <v>1661.51</v>
      </c>
      <c r="E24" s="25">
        <v>1200</v>
      </c>
      <c r="F24" s="23">
        <v>1200</v>
      </c>
    </row>
    <row r="25" spans="1:6" ht="18.5" customHeight="1" x14ac:dyDescent="0.35">
      <c r="A25" s="3"/>
      <c r="B25" s="4" t="s">
        <v>22</v>
      </c>
      <c r="C25" s="23">
        <v>2600</v>
      </c>
      <c r="D25" s="24">
        <f>2411.92+461.83+462.31+462.15</f>
        <v>3798.21</v>
      </c>
      <c r="E25" s="25">
        <v>2600</v>
      </c>
      <c r="F25" s="23">
        <v>2600</v>
      </c>
    </row>
    <row r="26" spans="1:6" ht="18.5" customHeight="1" x14ac:dyDescent="0.35">
      <c r="A26" s="3"/>
      <c r="B26" s="1" t="s">
        <v>7</v>
      </c>
      <c r="C26" s="31">
        <f t="shared" ref="C26" si="0">SUM(C23:C25)</f>
        <v>7700</v>
      </c>
      <c r="D26" s="29">
        <f>SUM(D23:D25)</f>
        <v>8391.57</v>
      </c>
      <c r="E26" s="30">
        <f t="shared" ref="E26:F26" si="1">SUM(E23:E25)</f>
        <v>7500</v>
      </c>
      <c r="F26" s="30">
        <f t="shared" si="1"/>
        <v>7500</v>
      </c>
    </row>
    <row r="27" spans="1:6" ht="18.5" customHeight="1" x14ac:dyDescent="0.35">
      <c r="A27" s="2" t="s">
        <v>23</v>
      </c>
      <c r="B27" s="4"/>
      <c r="C27" s="23"/>
      <c r="D27" s="24"/>
      <c r="E27" s="32"/>
      <c r="F27" s="23"/>
    </row>
    <row r="28" spans="1:6" ht="18.5" customHeight="1" x14ac:dyDescent="0.35">
      <c r="A28" s="5"/>
      <c r="B28" s="4" t="s">
        <v>39</v>
      </c>
      <c r="C28" s="23">
        <f>13200+5000+6000</f>
        <v>24200</v>
      </c>
      <c r="D28" s="24">
        <f>11025+3205+625</f>
        <v>14855</v>
      </c>
      <c r="E28" s="25">
        <f>13200+3000+4000</f>
        <v>20200</v>
      </c>
      <c r="F28" s="23">
        <f>13200+3000+5000</f>
        <v>21200</v>
      </c>
    </row>
    <row r="29" spans="1:6" ht="19.25" customHeight="1" x14ac:dyDescent="0.35">
      <c r="A29" s="5"/>
      <c r="B29" s="13" t="s">
        <v>40</v>
      </c>
      <c r="C29" s="23">
        <v>0</v>
      </c>
      <c r="D29" s="24">
        <v>0</v>
      </c>
      <c r="E29" s="25">
        <v>0</v>
      </c>
      <c r="F29" s="23"/>
    </row>
    <row r="30" spans="1:6" ht="18.5" customHeight="1" x14ac:dyDescent="0.35">
      <c r="A30" s="5"/>
      <c r="B30" s="4" t="s">
        <v>36</v>
      </c>
      <c r="C30" s="23">
        <v>2700</v>
      </c>
      <c r="D30" s="24">
        <f>2336.25+236.25+236.25+236.25</f>
        <v>3045</v>
      </c>
      <c r="E30" s="25">
        <v>2700</v>
      </c>
      <c r="F30" s="23"/>
    </row>
    <row r="31" spans="1:6" ht="18.5" customHeight="1" x14ac:dyDescent="0.35">
      <c r="A31" s="5"/>
      <c r="B31" s="13" t="s">
        <v>24</v>
      </c>
      <c r="C31" s="23">
        <v>2700</v>
      </c>
      <c r="D31" s="24"/>
      <c r="E31" s="25">
        <v>2700</v>
      </c>
      <c r="F31" s="23">
        <v>2700</v>
      </c>
    </row>
    <row r="32" spans="1:6" ht="18.5" customHeight="1" x14ac:dyDescent="0.35">
      <c r="A32" s="5"/>
      <c r="B32" s="4" t="s">
        <v>35</v>
      </c>
      <c r="C32" s="23">
        <v>3500</v>
      </c>
      <c r="D32" s="24">
        <v>1981.43</v>
      </c>
      <c r="E32" s="25">
        <v>3500</v>
      </c>
      <c r="F32" s="23">
        <v>3500</v>
      </c>
    </row>
    <row r="33" spans="1:6" ht="18.5" customHeight="1" x14ac:dyDescent="0.35">
      <c r="A33" s="5"/>
      <c r="B33" s="4" t="s">
        <v>37</v>
      </c>
      <c r="C33" s="23">
        <v>750</v>
      </c>
      <c r="D33" s="24">
        <v>3859.2</v>
      </c>
      <c r="E33" s="25">
        <v>750</v>
      </c>
      <c r="F33" s="23">
        <f>89+750</f>
        <v>839</v>
      </c>
    </row>
    <row r="34" spans="1:6" ht="18.5" customHeight="1" x14ac:dyDescent="0.35">
      <c r="A34" s="5"/>
      <c r="B34" s="4" t="s">
        <v>25</v>
      </c>
      <c r="C34" s="23">
        <v>2000</v>
      </c>
      <c r="D34" s="24">
        <v>1877</v>
      </c>
      <c r="E34" s="25">
        <v>2000</v>
      </c>
      <c r="F34" s="23">
        <v>2000</v>
      </c>
    </row>
    <row r="35" spans="1:6" ht="18.5" customHeight="1" x14ac:dyDescent="0.35">
      <c r="A35" s="5"/>
      <c r="B35" s="4" t="s">
        <v>26</v>
      </c>
      <c r="C35" s="23"/>
      <c r="D35" s="24">
        <v>1010</v>
      </c>
      <c r="E35" s="25">
        <v>1000</v>
      </c>
      <c r="F35" s="23">
        <v>0</v>
      </c>
    </row>
    <row r="36" spans="1:6" ht="18.5" customHeight="1" x14ac:dyDescent="0.35">
      <c r="A36" s="5"/>
      <c r="B36" s="4" t="s">
        <v>27</v>
      </c>
      <c r="C36" s="23">
        <v>2500</v>
      </c>
      <c r="D36" s="24">
        <f>5446.3+190</f>
        <v>5636.3</v>
      </c>
      <c r="E36" s="25">
        <v>3000</v>
      </c>
      <c r="F36" s="23">
        <v>3000</v>
      </c>
    </row>
    <row r="37" spans="1:6" ht="18.5" customHeight="1" x14ac:dyDescent="0.35">
      <c r="A37" s="5"/>
      <c r="B37" s="4" t="s">
        <v>33</v>
      </c>
      <c r="C37" s="23">
        <v>6000</v>
      </c>
      <c r="D37" s="24">
        <f>7236+1030+800</f>
        <v>9066</v>
      </c>
      <c r="E37" s="25">
        <v>3500</v>
      </c>
      <c r="F37" s="23">
        <v>6000</v>
      </c>
    </row>
    <row r="38" spans="1:6" ht="18.5" customHeight="1" x14ac:dyDescent="0.35">
      <c r="A38" s="5"/>
      <c r="B38" s="1" t="s">
        <v>28</v>
      </c>
      <c r="C38" s="31">
        <f>SUM(C28:C37)</f>
        <v>44350</v>
      </c>
      <c r="D38" s="29">
        <f>SUM(D28:D37)</f>
        <v>41329.93</v>
      </c>
      <c r="E38" s="30">
        <f>SUM(E28:E37)</f>
        <v>39350</v>
      </c>
      <c r="F38" s="30">
        <f>SUM(F28:F37)</f>
        <v>39239</v>
      </c>
    </row>
    <row r="39" spans="1:6" ht="18.5" customHeight="1" x14ac:dyDescent="0.35">
      <c r="A39" s="7" t="s">
        <v>29</v>
      </c>
      <c r="B39" s="4"/>
      <c r="C39" s="23"/>
      <c r="D39" s="24"/>
      <c r="E39" s="25"/>
      <c r="F39" s="27"/>
    </row>
    <row r="40" spans="1:6" ht="18.5" customHeight="1" x14ac:dyDescent="0.35">
      <c r="A40" s="5"/>
      <c r="B40" s="4" t="s">
        <v>34</v>
      </c>
      <c r="C40" s="23">
        <v>0</v>
      </c>
      <c r="D40" s="24"/>
      <c r="E40" s="25">
        <v>0</v>
      </c>
      <c r="F40" s="27"/>
    </row>
    <row r="41" spans="1:6" ht="18.5" customHeight="1" x14ac:dyDescent="0.35">
      <c r="A41" s="3"/>
      <c r="B41" s="4" t="s">
        <v>31</v>
      </c>
      <c r="C41" s="23">
        <v>0</v>
      </c>
      <c r="D41" s="24">
        <v>1781.7</v>
      </c>
      <c r="E41" s="25">
        <v>2730</v>
      </c>
      <c r="F41" s="27">
        <v>2730</v>
      </c>
    </row>
    <row r="42" spans="1:6" ht="18.5" customHeight="1" x14ac:dyDescent="0.35">
      <c r="A42" s="3"/>
      <c r="B42" s="1" t="s">
        <v>7</v>
      </c>
      <c r="C42" s="31">
        <f>SUM(C40:C41)</f>
        <v>0</v>
      </c>
      <c r="D42" s="29">
        <f>SUM(D40:D41)</f>
        <v>1781.7</v>
      </c>
      <c r="E42" s="30">
        <f>SUM(E40:E41)</f>
        <v>2730</v>
      </c>
      <c r="F42" s="30">
        <f>SUM(F40:F41)</f>
        <v>2730</v>
      </c>
    </row>
    <row r="43" spans="1:6" ht="18.5" customHeight="1" x14ac:dyDescent="0.35">
      <c r="A43" s="2" t="s">
        <v>32</v>
      </c>
      <c r="B43" s="1"/>
      <c r="C43" s="31">
        <f>SUM(C21+C26+C38+C42)</f>
        <v>74930</v>
      </c>
      <c r="D43" s="29">
        <f>SUM(D21+D26+D38+D42)</f>
        <v>112178.83999999998</v>
      </c>
      <c r="E43" s="30">
        <f>SUM(E21+E26+E38+E42)</f>
        <v>88193</v>
      </c>
      <c r="F43" s="30">
        <f>SUM(F21+F26+F38+F42)</f>
        <v>108082</v>
      </c>
    </row>
    <row r="44" spans="1:6" ht="18.5" customHeight="1" x14ac:dyDescent="0.35">
      <c r="A44" s="8"/>
      <c r="B44" s="9"/>
      <c r="C44" s="11"/>
      <c r="D44" s="15"/>
      <c r="E44" s="11"/>
    </row>
    <row r="45" spans="1:6" ht="18.5" customHeight="1" x14ac:dyDescent="0.35">
      <c r="A45" s="3" t="s">
        <v>50</v>
      </c>
      <c r="B45" s="4"/>
      <c r="C45" s="5">
        <f>E43</f>
        <v>88193</v>
      </c>
      <c r="D45" s="10"/>
      <c r="E45" s="11"/>
    </row>
    <row r="46" spans="1:6" ht="18.5" customHeight="1" x14ac:dyDescent="0.35">
      <c r="A46" s="3" t="s">
        <v>51</v>
      </c>
      <c r="B46" s="4"/>
      <c r="C46" s="12">
        <f>C45/13</f>
        <v>6784.0769230769229</v>
      </c>
      <c r="D46" s="10"/>
      <c r="E46" s="11" t="s">
        <v>30</v>
      </c>
    </row>
    <row r="47" spans="1:6" ht="18.5" customHeight="1" x14ac:dyDescent="0.35">
      <c r="A47" s="3" t="s">
        <v>53</v>
      </c>
      <c r="B47" s="4"/>
      <c r="C47" s="6">
        <f>C46/12</f>
        <v>565.33974358974353</v>
      </c>
      <c r="D47" s="10"/>
      <c r="E47" s="11"/>
    </row>
    <row r="48" spans="1:6" x14ac:dyDescent="0.35">
      <c r="A48" s="18" t="s">
        <v>52</v>
      </c>
      <c r="B48" s="18"/>
      <c r="C48" s="6">
        <v>566</v>
      </c>
    </row>
    <row r="50" spans="1:3" x14ac:dyDescent="0.35">
      <c r="A50" s="3" t="s">
        <v>54</v>
      </c>
      <c r="B50" s="18"/>
      <c r="C50" s="19">
        <f>C48*3*13</f>
        <v>22074</v>
      </c>
    </row>
    <row r="51" spans="1:3" x14ac:dyDescent="0.35">
      <c r="A51" s="18" t="s">
        <v>55</v>
      </c>
      <c r="B51" s="18"/>
      <c r="C51" s="18">
        <v>13000</v>
      </c>
    </row>
    <row r="52" spans="1:3" x14ac:dyDescent="0.35">
      <c r="A52" s="18" t="s">
        <v>56</v>
      </c>
      <c r="B52" s="18"/>
      <c r="C52" s="19">
        <f>SUM(C50:C51)</f>
        <v>35074</v>
      </c>
    </row>
    <row r="53" spans="1:3" x14ac:dyDescent="0.35">
      <c r="A53" s="18" t="s">
        <v>57</v>
      </c>
      <c r="B53" s="18"/>
      <c r="C53" s="19">
        <f>+F43-C52</f>
        <v>73008</v>
      </c>
    </row>
    <row r="54" spans="1:3" x14ac:dyDescent="0.35">
      <c r="A54" s="18" t="s">
        <v>58</v>
      </c>
      <c r="B54" s="18"/>
      <c r="C54" s="19">
        <f>C53/13</f>
        <v>5616</v>
      </c>
    </row>
    <row r="55" spans="1:3" x14ac:dyDescent="0.35">
      <c r="A55" s="18" t="s">
        <v>59</v>
      </c>
      <c r="B55" s="18"/>
      <c r="C55" s="19">
        <f>C54/9</f>
        <v>624</v>
      </c>
    </row>
  </sheetData>
  <mergeCells count="1">
    <mergeCell ref="A1:E2"/>
  </mergeCells>
  <pageMargins left="0.25" right="0.25" top="0.75" bottom="0.75" header="0.3" footer="0.3"/>
  <pageSetup fitToHeight="0" orientation="portrait" r:id="rId1"/>
  <rowBreaks count="1" manualBreakCount="1">
    <brk id="5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Alimonda</dc:creator>
  <cp:lastModifiedBy>jamie blum</cp:lastModifiedBy>
  <cp:lastPrinted>2025-02-13T16:05:37Z</cp:lastPrinted>
  <dcterms:created xsi:type="dcterms:W3CDTF">2024-08-20T11:13:29Z</dcterms:created>
  <dcterms:modified xsi:type="dcterms:W3CDTF">2025-02-13T16:06:56Z</dcterms:modified>
</cp:coreProperties>
</file>