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AB70B09E-3C28-4400-A9D6-0C351D0DF971}" xr6:coauthVersionLast="47" xr6:coauthVersionMax="47" xr10:uidLastSave="{00000000-0000-0000-0000-000000000000}"/>
  <bookViews>
    <workbookView xWindow="-108" yWindow="-108" windowWidth="23256" windowHeight="13896" xr2:uid="{BBD8DFB2-4642-4EDE-A012-1A51B657217D}"/>
  </bookViews>
  <sheets>
    <sheet name="Budget 2025" sheetId="8" r:id="rId1"/>
    <sheet name="reserves 2025" sheetId="9" r:id="rId2"/>
    <sheet name="reserves 2025 pooling" sheetId="10" r:id="rId3"/>
  </sheets>
  <definedNames>
    <definedName name="_xlnm.Print_Area" localSheetId="0">'Budget 2025'!$A$1:$G$57</definedName>
    <definedName name="_xlnm.Print_Area" localSheetId="2">'reserves 2025 pooling'!$A$1:$V$17</definedName>
    <definedName name="_xlnm.Print_Titles" localSheetId="0">'Budget 2025'!$2:$3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H11" i="10"/>
  <c r="J15" i="9"/>
  <c r="I23" i="10"/>
  <c r="I12" i="10"/>
  <c r="I11" i="10"/>
  <c r="I10" i="10"/>
  <c r="I9" i="10"/>
  <c r="I8" i="10"/>
  <c r="I7" i="10"/>
  <c r="I6" i="10"/>
  <c r="H23" i="10"/>
  <c r="J48" i="8"/>
  <c r="G25" i="10"/>
  <c r="E23" i="10"/>
  <c r="D23" i="10" s="1"/>
  <c r="B17" i="10"/>
  <c r="D13" i="10"/>
  <c r="B13" i="10"/>
  <c r="E12" i="10"/>
  <c r="F12" i="10" s="1"/>
  <c r="G12" i="10" s="1"/>
  <c r="H12" i="10" s="1"/>
  <c r="E11" i="10"/>
  <c r="F11" i="10" s="1"/>
  <c r="G11" i="10" s="1"/>
  <c r="E10" i="10"/>
  <c r="F10" i="10" s="1"/>
  <c r="G10" i="10" s="1"/>
  <c r="H10" i="10" s="1"/>
  <c r="E9" i="10"/>
  <c r="F9" i="10" s="1"/>
  <c r="G9" i="10" s="1"/>
  <c r="H9" i="10" s="1"/>
  <c r="F8" i="10"/>
  <c r="G8" i="10" s="1"/>
  <c r="H8" i="10" s="1"/>
  <c r="E8" i="10"/>
  <c r="E7" i="10"/>
  <c r="F7" i="10" s="1"/>
  <c r="F6" i="10"/>
  <c r="G6" i="10" s="1"/>
  <c r="E6" i="10"/>
  <c r="I17" i="9"/>
  <c r="H17" i="9"/>
  <c r="I7" i="9"/>
  <c r="I8" i="9"/>
  <c r="I9" i="9"/>
  <c r="I10" i="9"/>
  <c r="I12" i="9"/>
  <c r="I11" i="9"/>
  <c r="I6" i="9"/>
  <c r="D23" i="9"/>
  <c r="E23" i="9"/>
  <c r="I29" i="8"/>
  <c r="F26" i="8"/>
  <c r="F12" i="9"/>
  <c r="G12" i="9" s="1"/>
  <c r="H12" i="9" s="1"/>
  <c r="F11" i="9"/>
  <c r="G11" i="9" s="1"/>
  <c r="H11" i="9" s="1"/>
  <c r="F10" i="9"/>
  <c r="G10" i="9" s="1"/>
  <c r="F9" i="9"/>
  <c r="G9" i="9" s="1"/>
  <c r="H9" i="9" s="1"/>
  <c r="F8" i="9"/>
  <c r="G8" i="9" s="1"/>
  <c r="H8" i="9" s="1"/>
  <c r="F7" i="9"/>
  <c r="G7" i="9" s="1"/>
  <c r="H7" i="9" s="1"/>
  <c r="F6" i="9"/>
  <c r="G6" i="9" s="1"/>
  <c r="H6" i="9" s="1"/>
  <c r="G25" i="9"/>
  <c r="D36" i="8"/>
  <c r="D37" i="8"/>
  <c r="G37" i="8" s="1"/>
  <c r="F49" i="8"/>
  <c r="B11" i="8"/>
  <c r="B15" i="8"/>
  <c r="B24" i="8" s="1"/>
  <c r="E13" i="9"/>
  <c r="C13" i="9"/>
  <c r="F66" i="8"/>
  <c r="F65" i="8"/>
  <c r="D65" i="8"/>
  <c r="I62" i="8"/>
  <c r="F62" i="8"/>
  <c r="H61" i="8"/>
  <c r="I60" i="8"/>
  <c r="I59" i="8"/>
  <c r="H59" i="8"/>
  <c r="L53" i="8"/>
  <c r="L52" i="8"/>
  <c r="D50" i="8"/>
  <c r="N49" i="8"/>
  <c r="J49" i="8"/>
  <c r="G48" i="8"/>
  <c r="G47" i="8"/>
  <c r="F46" i="8"/>
  <c r="F50" i="8" s="1"/>
  <c r="B46" i="8"/>
  <c r="B50" i="8" s="1"/>
  <c r="G45" i="8"/>
  <c r="G44" i="8"/>
  <c r="G43" i="8"/>
  <c r="G42" i="8"/>
  <c r="G41" i="8"/>
  <c r="F39" i="8"/>
  <c r="B39" i="8"/>
  <c r="G38" i="8"/>
  <c r="F34" i="8"/>
  <c r="D34" i="8"/>
  <c r="B34" i="8"/>
  <c r="L33" i="8"/>
  <c r="G33" i="8"/>
  <c r="L32" i="8"/>
  <c r="G32" i="8"/>
  <c r="G31" i="8"/>
  <c r="G30" i="8"/>
  <c r="G29" i="8"/>
  <c r="Q28" i="8"/>
  <c r="G28" i="8"/>
  <c r="G27" i="8"/>
  <c r="Q26" i="8"/>
  <c r="G26" i="8"/>
  <c r="G23" i="8"/>
  <c r="G22" i="8"/>
  <c r="H21" i="8"/>
  <c r="I21" i="8" s="1"/>
  <c r="I22" i="8" s="1"/>
  <c r="L20" i="8"/>
  <c r="G20" i="8"/>
  <c r="I19" i="8" a="1"/>
  <c r="I19" i="8" s="1"/>
  <c r="G19" i="8"/>
  <c r="G18" i="8"/>
  <c r="G16" i="8"/>
  <c r="F15" i="8"/>
  <c r="F24" i="8" s="1"/>
  <c r="D15" i="8"/>
  <c r="J14" i="8"/>
  <c r="D13" i="8"/>
  <c r="G9" i="8"/>
  <c r="I8" i="8"/>
  <c r="K8" i="8" s="1"/>
  <c r="I13" i="10" l="1"/>
  <c r="H6" i="10"/>
  <c r="F13" i="10"/>
  <c r="G7" i="10"/>
  <c r="H7" i="10" s="1"/>
  <c r="I13" i="9"/>
  <c r="D39" i="8"/>
  <c r="H10" i="9"/>
  <c r="G13" i="9"/>
  <c r="H13" i="9"/>
  <c r="E17" i="9" s="1"/>
  <c r="G36" i="8"/>
  <c r="F51" i="8"/>
  <c r="L34" i="8"/>
  <c r="L54" i="8"/>
  <c r="F68" i="8"/>
  <c r="G15" i="8"/>
  <c r="B51" i="8"/>
  <c r="D24" i="8"/>
  <c r="D51" i="8" s="1"/>
  <c r="G46" i="8"/>
  <c r="G21" i="8"/>
  <c r="G13" i="10" l="1"/>
  <c r="E17" i="10" s="1"/>
  <c r="H13" i="10"/>
  <c r="H17" i="10" s="1"/>
  <c r="I17" i="10" s="1"/>
  <c r="J33" i="8"/>
  <c r="F6" i="8"/>
  <c r="F23" i="9"/>
  <c r="G51" i="8"/>
  <c r="F23" i="10" l="1"/>
  <c r="G17" i="10"/>
  <c r="F13" i="8"/>
  <c r="I13" i="8" s="1"/>
  <c r="B56" i="8"/>
  <c r="B13" i="8"/>
  <c r="G6" i="8"/>
  <c r="B17" i="9" l="1"/>
  <c r="G17" i="9" s="1"/>
  <c r="B57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<sst xmlns="http://schemas.openxmlformats.org/spreadsheetml/2006/main" count="150" uniqueCount="91">
  <si>
    <t>Number of Units</t>
  </si>
  <si>
    <t>TOTAL EXPENSES</t>
  </si>
  <si>
    <t>TOTAL MAINTENANCE EXPENSES</t>
  </si>
  <si>
    <t>Assessment Repayment</t>
  </si>
  <si>
    <t>Plumbing Expense</t>
  </si>
  <si>
    <t>Water Tower Treatment</t>
  </si>
  <si>
    <t>AC Tower Monthly</t>
  </si>
  <si>
    <t>AC Tower Repairs</t>
  </si>
  <si>
    <t>Repairs &amp; Maintenance</t>
  </si>
  <si>
    <t>Fire Equipment &amp; Inspection</t>
  </si>
  <si>
    <t>Maintenance Supplies</t>
  </si>
  <si>
    <t>MAINTENANCE</t>
  </si>
  <si>
    <t>TOTAL UTILITES EXPENSES</t>
  </si>
  <si>
    <t>Telephone</t>
  </si>
  <si>
    <t>Water &amp; Sewer</t>
  </si>
  <si>
    <t>Electricity</t>
  </si>
  <si>
    <t>UTILITIES:</t>
  </si>
  <si>
    <t>TOTAL CONTRACT EXPENSES</t>
  </si>
  <si>
    <t>Fountain</t>
  </si>
  <si>
    <t>Pest Control/Fertilization</t>
  </si>
  <si>
    <t>Irrigation</t>
  </si>
  <si>
    <t>Tree Trimming</t>
  </si>
  <si>
    <t>Elevator Contract</t>
  </si>
  <si>
    <t>Elevator Expense</t>
  </si>
  <si>
    <t>Janitorial Services</t>
  </si>
  <si>
    <t>Lawn Maintenance</t>
  </si>
  <si>
    <t>CONTRACTS:</t>
  </si>
  <si>
    <t>TOTAL GEN. &amp; ADMIN. EXPENSES</t>
  </si>
  <si>
    <t>Postage</t>
  </si>
  <si>
    <t>Administrative/Office Expense</t>
  </si>
  <si>
    <t>Insurance</t>
  </si>
  <si>
    <t>Bank Charges/Interests</t>
  </si>
  <si>
    <t>Licences/Fees/Permits</t>
  </si>
  <si>
    <t>Legal Fees</t>
  </si>
  <si>
    <t>Accounting Fees</t>
  </si>
  <si>
    <t>Management Fees</t>
  </si>
  <si>
    <t>GEN. &amp; ADMIN. EXPENSES:</t>
  </si>
  <si>
    <t>TOTAL REVENUE</t>
  </si>
  <si>
    <t>Interest Income- Investments</t>
  </si>
  <si>
    <t>Assessment Income (6yr loan)</t>
  </si>
  <si>
    <t>Laundry Income</t>
  </si>
  <si>
    <t>Late Fee Income</t>
  </si>
  <si>
    <t>Maintenance Assess Income</t>
  </si>
  <si>
    <t>REVENUE</t>
  </si>
  <si>
    <t>BUDGET</t>
  </si>
  <si>
    <t>Approved</t>
  </si>
  <si>
    <t>Variance</t>
  </si>
  <si>
    <t>Item</t>
  </si>
  <si>
    <t>Estimated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</si>
  <si>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</si>
  <si>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</si>
  <si>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</si>
  <si>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</si>
  <si>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</si>
  <si>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</si>
  <si>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</si>
  <si>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</si>
  <si>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</si>
  <si>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Reserves</t>
  </si>
  <si>
    <t>Account</t>
  </si>
  <si>
    <t>for Life</t>
  </si>
  <si>
    <t>Full Reserves</t>
  </si>
  <si>
    <t>Partial Reserves</t>
  </si>
  <si>
    <t>Roof</t>
  </si>
  <si>
    <t>Elevator</t>
  </si>
  <si>
    <t>Electrical Repairs</t>
  </si>
  <si>
    <t>Parking lot</t>
  </si>
  <si>
    <t>Paint</t>
  </si>
  <si>
    <t>Total</t>
  </si>
  <si>
    <t>Maintenance Fee Without Reserve</t>
  </si>
  <si>
    <t>Maintenance Fee With Reserve</t>
  </si>
  <si>
    <t>24 Units</t>
  </si>
  <si>
    <t>Estimated Expense</t>
  </si>
  <si>
    <t>Budget</t>
  </si>
  <si>
    <t>Monthy Payments</t>
  </si>
  <si>
    <t>Monthly Payments with no reserves</t>
  </si>
  <si>
    <t>Concrete</t>
  </si>
  <si>
    <t>Full Reserves Monthly Cost</t>
  </si>
  <si>
    <t>2024  MAINTENANCE ASSESSMENT</t>
  </si>
  <si>
    <t>Boca Capri Budget 2025
January 1, 2025 to December 31, 2025</t>
  </si>
  <si>
    <t>Assessment 2024</t>
  </si>
  <si>
    <t>Contingency (concrete rest)</t>
  </si>
  <si>
    <t>AC Tower</t>
  </si>
  <si>
    <t>2025 Budget</t>
  </si>
  <si>
    <t>Reserves for 2025 Pooling</t>
  </si>
  <si>
    <t>Monthly</t>
  </si>
  <si>
    <t>Monthly Fee</t>
  </si>
  <si>
    <t>Website</t>
  </si>
  <si>
    <t>Partial 50% Reserves</t>
  </si>
  <si>
    <t>Maintenance Fees and Reserves Partial</t>
  </si>
  <si>
    <t>Partial 15%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</si>
</sst>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&quot;$&quot;#,##0.00"/>
    <numFmt numFmtId="165" formatCode="&quot;$&quot;#,##0"/>
  </numFmts>
  <fonts count="10" x14ac:knownFonts="1"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43" fontId="2" fillId="0" borderId="0" xfId="1" applyFont="1"/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indent="2"/>
    </xf>
    <xf numFmtId="49" fontId="3" fillId="0" borderId="2" xfId="0" applyNumberFormat="1" applyFont="1" applyBorder="1" applyAlignment="1">
      <alignment horizontal="left" indent="2"/>
    </xf>
    <xf numFmtId="0" fontId="3" fillId="0" borderId="2" xfId="0" applyFont="1" applyBorder="1" applyAlignment="1">
      <alignment horizontal="left" indent="2"/>
    </xf>
    <xf numFmtId="0" fontId="2" fillId="2" borderId="2" xfId="0" applyFont="1" applyFill="1" applyBorder="1"/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7" fontId="6" fillId="0" borderId="0" xfId="0" applyNumberFormat="1" applyFont="1"/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10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164" fontId="3" fillId="3" borderId="10" xfId="0" applyNumberFormat="1" applyFont="1" applyFill="1" applyBorder="1" applyAlignment="1">
      <alignment horizontal="center"/>
    </xf>
    <xf numFmtId="10" fontId="3" fillId="3" borderId="10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1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164" fontId="3" fillId="0" borderId="2" xfId="1" applyNumberFormat="1" applyFont="1" applyFill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 vertical="center"/>
    </xf>
    <xf numFmtId="164" fontId="0" fillId="0" borderId="0" xfId="0" applyNumberFormat="1"/>
    <xf numFmtId="165" fontId="0" fillId="0" borderId="2" xfId="0" applyNumberFormat="1" applyBorder="1" applyAlignment="1">
      <alignment horizontal="center"/>
    </xf>
    <xf numFmtId="164" fontId="2" fillId="0" borderId="0" xfId="0" applyNumberFormat="1" applyFont="1"/>
    <xf numFmtId="49" fontId="2" fillId="2" borderId="1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center"/>
    </xf>
    <xf numFmtId="164" fontId="3" fillId="5" borderId="11" xfId="0" applyNumberFormat="1" applyFont="1" applyFill="1" applyBorder="1" applyAlignment="1">
      <alignment horizontal="center"/>
    </xf>
    <xf numFmtId="165" fontId="0" fillId="0" borderId="0" xfId="0" applyNumberFormat="1"/>
    <xf numFmtId="0" fontId="5" fillId="0" borderId="2" xfId="0" applyFont="1" applyBorder="1"/>
    <xf numFmtId="10" fontId="9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8" fontId="5" fillId="0" borderId="2" xfId="0" applyNumberFormat="1" applyFont="1" applyBorder="1" applyAlignment="1">
      <alignment horizontal="center" wrapText="1"/>
    </xf>
    <xf numFmtId="41" fontId="2" fillId="0" borderId="12" xfId="1" applyNumberFormat="1" applyFont="1" applyBorder="1" applyAlignment="1">
      <alignment horizontal="center"/>
    </xf>
    <xf numFmtId="41" fontId="2" fillId="0" borderId="13" xfId="1" applyNumberFormat="1" applyFont="1" applyBorder="1" applyAlignment="1">
      <alignment horizontal="center"/>
    </xf>
    <xf numFmtId="41" fontId="2" fillId="0" borderId="14" xfId="1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5" fontId="3" fillId="0" borderId="14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8" fontId="5" fillId="0" borderId="2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883F-A09E-4362-92CC-A6F01C41AA3E}">
  <sheetPr>
    <tabColor rgb="FFFFFF00"/>
  </sheetPr>
  <dimension ref="A1:Q68"/>
  <sheetViews>
    <sheetView tabSelected="1" zoomScaleNormal="100" workbookViewId="0">
      <selection activeCell="H2" sqref="H2"/>
    </sheetView>
  </sheetViews>
  <sheetFormatPr defaultColWidth="9" defaultRowHeight="13.2" x14ac:dyDescent="0.25"/>
  <cols>
    <col min="1" max="1" width="42.875" style="2" bestFit="1" customWidth="1"/>
    <col min="2" max="2" width="12.25" style="1" bestFit="1" customWidth="1"/>
    <col min="3" max="3" width="2" style="1" customWidth="1"/>
    <col min="4" max="4" width="17.625" style="1" customWidth="1"/>
    <col min="5" max="5" width="2" style="1" customWidth="1"/>
    <col min="6" max="6" width="19.125" style="1" bestFit="1" customWidth="1"/>
    <col min="7" max="7" width="11.875" style="1" hidden="1" customWidth="1"/>
    <col min="8" max="8" width="9" style="1"/>
    <col min="9" max="9" width="13.875" style="1" bestFit="1" customWidth="1"/>
    <col min="10" max="10" width="12" style="1" bestFit="1" customWidth="1"/>
    <col min="11" max="16384" width="9" style="1"/>
  </cols>
  <sheetData>
    <row r="1" spans="1:11" ht="26.1" customHeight="1" x14ac:dyDescent="0.25">
      <c r="A1" s="57" t="s">
        <v>79</v>
      </c>
      <c r="B1" s="57"/>
      <c r="C1" s="57"/>
      <c r="D1" s="57"/>
      <c r="E1" s="57"/>
      <c r="F1" s="57"/>
      <c r="G1" s="57"/>
    </row>
    <row r="2" spans="1:11" x14ac:dyDescent="0.25">
      <c r="A2" s="8">
        <v>1</v>
      </c>
      <c r="B2" s="36">
        <v>2024</v>
      </c>
      <c r="C2" s="37"/>
      <c r="D2" s="36">
        <v>2024</v>
      </c>
      <c r="E2" s="37"/>
      <c r="F2" s="36">
        <v>2025</v>
      </c>
      <c r="G2" s="32" t="s">
        <v>46</v>
      </c>
    </row>
    <row r="3" spans="1:11" x14ac:dyDescent="0.25">
      <c r="A3" s="8"/>
      <c r="B3" s="32" t="s">
        <v>45</v>
      </c>
      <c r="C3" s="33"/>
      <c r="D3" s="32" t="s">
        <v>72</v>
      </c>
      <c r="E3" s="33"/>
      <c r="F3" s="32" t="s">
        <v>45</v>
      </c>
      <c r="G3" s="33"/>
    </row>
    <row r="4" spans="1:11" x14ac:dyDescent="0.25">
      <c r="A4" s="47"/>
      <c r="B4" s="32" t="s">
        <v>44</v>
      </c>
      <c r="C4" s="33"/>
      <c r="D4" s="32" t="s">
        <v>44</v>
      </c>
      <c r="E4" s="33"/>
      <c r="F4" s="32" t="s">
        <v>73</v>
      </c>
      <c r="G4" s="33"/>
    </row>
    <row r="5" spans="1:11" x14ac:dyDescent="0.25">
      <c r="A5" s="7" t="s">
        <v>43</v>
      </c>
      <c r="B5" s="33"/>
      <c r="C5" s="33"/>
      <c r="D5" s="33"/>
      <c r="E5" s="33"/>
      <c r="F5" s="33"/>
      <c r="G5" s="33"/>
    </row>
    <row r="6" spans="1:11" x14ac:dyDescent="0.25">
      <c r="A6" s="5" t="s">
        <v>42</v>
      </c>
      <c r="B6" s="33">
        <v>247748</v>
      </c>
      <c r="C6" s="33"/>
      <c r="D6" s="34">
        <v>248000</v>
      </c>
      <c r="E6" s="33"/>
      <c r="F6" s="33">
        <f>SUM(F51-F9-F7-F8-F12)</f>
        <v>273825</v>
      </c>
      <c r="G6" s="33">
        <f>B6-D6</f>
        <v>-252</v>
      </c>
    </row>
    <row r="7" spans="1:11" x14ac:dyDescent="0.25">
      <c r="A7" s="5" t="s">
        <v>41</v>
      </c>
      <c r="B7" s="33">
        <v>75</v>
      </c>
      <c r="C7" s="33"/>
      <c r="D7" s="35">
        <v>275</v>
      </c>
      <c r="E7" s="33"/>
      <c r="F7" s="33">
        <v>100</v>
      </c>
      <c r="G7" s="33"/>
    </row>
    <row r="8" spans="1:11" x14ac:dyDescent="0.25">
      <c r="A8" s="5" t="s">
        <v>40</v>
      </c>
      <c r="B8" s="33">
        <v>200</v>
      </c>
      <c r="C8" s="33"/>
      <c r="D8" s="35">
        <v>300</v>
      </c>
      <c r="E8" s="33"/>
      <c r="F8" s="33">
        <v>200</v>
      </c>
      <c r="G8" s="33"/>
      <c r="I8" s="46">
        <f>(248033-F7-F8-F12)</f>
        <v>247723</v>
      </c>
      <c r="K8" s="46">
        <f>I8/12/24</f>
        <v>860.14930555555554</v>
      </c>
    </row>
    <row r="9" spans="1:11" x14ac:dyDescent="0.25">
      <c r="A9" s="5" t="s">
        <v>39</v>
      </c>
      <c r="B9" s="33">
        <v>25632</v>
      </c>
      <c r="C9" s="33"/>
      <c r="D9" s="35">
        <v>19000</v>
      </c>
      <c r="E9" s="33"/>
      <c r="F9" s="33">
        <v>19000</v>
      </c>
      <c r="G9" s="33">
        <f>167*3*7</f>
        <v>3507</v>
      </c>
    </row>
    <row r="10" spans="1:11" x14ac:dyDescent="0.25">
      <c r="A10" s="5" t="s">
        <v>80</v>
      </c>
      <c r="B10" s="33">
        <v>0</v>
      </c>
      <c r="C10" s="33"/>
      <c r="D10" s="35">
        <v>101400</v>
      </c>
      <c r="E10" s="33"/>
      <c r="F10" s="33">
        <v>0</v>
      </c>
      <c r="G10" s="33"/>
    </row>
    <row r="11" spans="1:11" x14ac:dyDescent="0.25">
      <c r="A11" s="5" t="s">
        <v>58</v>
      </c>
      <c r="B11" s="33">
        <f>140*24*12</f>
        <v>40320</v>
      </c>
      <c r="C11" s="33"/>
      <c r="D11" s="35">
        <v>40320</v>
      </c>
      <c r="E11" s="33"/>
      <c r="F11" s="33">
        <f>'reserves 2025 pooling'!I13</f>
        <v>14451.190383631714</v>
      </c>
      <c r="G11" s="33"/>
    </row>
    <row r="12" spans="1:11" x14ac:dyDescent="0.25">
      <c r="A12" s="5" t="s">
        <v>38</v>
      </c>
      <c r="B12" s="33">
        <v>10</v>
      </c>
      <c r="C12" s="33"/>
      <c r="D12" s="35">
        <v>175</v>
      </c>
      <c r="E12" s="33"/>
      <c r="F12" s="33">
        <v>10</v>
      </c>
      <c r="G12" s="33"/>
    </row>
    <row r="13" spans="1:11" x14ac:dyDescent="0.25">
      <c r="A13" s="6" t="s">
        <v>37</v>
      </c>
      <c r="B13" s="42">
        <f>SUM(B6:B12)</f>
        <v>313985</v>
      </c>
      <c r="C13" s="32"/>
      <c r="D13" s="42">
        <f>SUM(D6:D12)</f>
        <v>409470</v>
      </c>
      <c r="E13" s="32"/>
      <c r="F13" s="32">
        <f>SUM(F6:F12)</f>
        <v>307586.19038363174</v>
      </c>
      <c r="G13" s="33"/>
      <c r="I13" s="46">
        <f>F13/24/4</f>
        <v>3204.0228164961641</v>
      </c>
      <c r="J13" s="1">
        <v>1590</v>
      </c>
    </row>
    <row r="14" spans="1:11" x14ac:dyDescent="0.25">
      <c r="A14" s="7" t="s">
        <v>36</v>
      </c>
      <c r="B14" s="34"/>
      <c r="C14" s="33"/>
      <c r="D14" s="34"/>
      <c r="E14" s="33"/>
      <c r="F14" s="33"/>
      <c r="G14" s="33"/>
      <c r="J14" s="1">
        <f>(2781-1590)/3</f>
        <v>397</v>
      </c>
    </row>
    <row r="15" spans="1:11" x14ac:dyDescent="0.25">
      <c r="A15" s="5" t="s">
        <v>35</v>
      </c>
      <c r="B15" s="33">
        <f>450*12</f>
        <v>5400</v>
      </c>
      <c r="C15" s="33"/>
      <c r="D15" s="35">
        <f>450*12</f>
        <v>5400</v>
      </c>
      <c r="E15" s="33"/>
      <c r="F15" s="33">
        <f>450*12</f>
        <v>5400</v>
      </c>
      <c r="G15" s="33">
        <f t="shared" ref="G15:G23" si="0">B15-D15</f>
        <v>0</v>
      </c>
    </row>
    <row r="16" spans="1:11" x14ac:dyDescent="0.25">
      <c r="A16" s="5" t="s">
        <v>34</v>
      </c>
      <c r="B16" s="33">
        <v>350</v>
      </c>
      <c r="C16" s="33"/>
      <c r="D16" s="35">
        <v>350</v>
      </c>
      <c r="E16" s="33"/>
      <c r="F16" s="33">
        <v>350</v>
      </c>
      <c r="G16" s="33">
        <f t="shared" si="0"/>
        <v>0</v>
      </c>
    </row>
    <row r="17" spans="1:17" x14ac:dyDescent="0.25">
      <c r="A17" s="5" t="s">
        <v>87</v>
      </c>
      <c r="B17" s="33">
        <v>0</v>
      </c>
      <c r="C17" s="33"/>
      <c r="D17" s="35">
        <v>0</v>
      </c>
      <c r="E17" s="33"/>
      <c r="F17" s="33">
        <v>300</v>
      </c>
      <c r="G17" s="33"/>
    </row>
    <row r="18" spans="1:17" x14ac:dyDescent="0.25">
      <c r="A18" s="5" t="s">
        <v>33</v>
      </c>
      <c r="B18" s="33">
        <v>500</v>
      </c>
      <c r="C18" s="33"/>
      <c r="D18" s="35">
        <v>500</v>
      </c>
      <c r="E18" s="33"/>
      <c r="F18" s="33">
        <v>500</v>
      </c>
      <c r="G18" s="33">
        <f t="shared" si="0"/>
        <v>0</v>
      </c>
    </row>
    <row r="19" spans="1:17" x14ac:dyDescent="0.25">
      <c r="A19" s="5" t="s">
        <v>32</v>
      </c>
      <c r="B19" s="33">
        <v>600</v>
      </c>
      <c r="C19" s="33"/>
      <c r="D19" s="35">
        <v>1911</v>
      </c>
      <c r="E19" s="33"/>
      <c r="F19" s="33">
        <v>600</v>
      </c>
      <c r="G19" s="33">
        <f t="shared" si="0"/>
        <v>-1311</v>
      </c>
      <c r="I19" s="1" t="e" cm="1">
        <f t="array" ref="I19">F</f>
        <v>#NAME?</v>
      </c>
    </row>
    <row r="20" spans="1:17" x14ac:dyDescent="0.25">
      <c r="A20" s="5" t="s">
        <v>31</v>
      </c>
      <c r="B20" s="33">
        <v>55</v>
      </c>
      <c r="C20" s="33"/>
      <c r="D20" s="35">
        <v>50</v>
      </c>
      <c r="E20" s="33"/>
      <c r="F20" s="33">
        <v>55</v>
      </c>
      <c r="G20" s="33">
        <f t="shared" si="0"/>
        <v>5</v>
      </c>
      <c r="L20" s="1">
        <f>136800/24/4</f>
        <v>1425</v>
      </c>
    </row>
    <row r="21" spans="1:17" x14ac:dyDescent="0.25">
      <c r="A21" s="5" t="s">
        <v>30</v>
      </c>
      <c r="B21" s="33">
        <v>204000</v>
      </c>
      <c r="C21" s="33"/>
      <c r="D21" s="35">
        <v>227000</v>
      </c>
      <c r="E21" s="33"/>
      <c r="F21" s="33">
        <v>230000</v>
      </c>
      <c r="G21" s="33">
        <f t="shared" si="0"/>
        <v>-23000</v>
      </c>
      <c r="H21" s="1">
        <f>156000</f>
        <v>156000</v>
      </c>
      <c r="I21" s="46">
        <f>H21-F21</f>
        <v>-74000</v>
      </c>
    </row>
    <row r="22" spans="1:17" x14ac:dyDescent="0.25">
      <c r="A22" s="5" t="s">
        <v>29</v>
      </c>
      <c r="B22" s="33">
        <v>600</v>
      </c>
      <c r="C22" s="33"/>
      <c r="D22" s="35">
        <v>600</v>
      </c>
      <c r="E22" s="33"/>
      <c r="F22" s="33">
        <v>600</v>
      </c>
      <c r="G22" s="33">
        <f t="shared" si="0"/>
        <v>0</v>
      </c>
      <c r="I22" s="46">
        <f>I21/24/9</f>
        <v>-342.59259259259261</v>
      </c>
    </row>
    <row r="23" spans="1:17" x14ac:dyDescent="0.25">
      <c r="A23" s="5" t="s">
        <v>28</v>
      </c>
      <c r="B23" s="33">
        <v>150</v>
      </c>
      <c r="C23" s="33"/>
      <c r="D23" s="35">
        <v>150</v>
      </c>
      <c r="E23" s="33"/>
      <c r="F23" s="33">
        <v>150</v>
      </c>
      <c r="G23" s="33">
        <f t="shared" si="0"/>
        <v>0</v>
      </c>
    </row>
    <row r="24" spans="1:17" x14ac:dyDescent="0.25">
      <c r="A24" s="6" t="s">
        <v>27</v>
      </c>
      <c r="B24" s="41">
        <f>SUM(B15:B23)</f>
        <v>211655</v>
      </c>
      <c r="C24" s="32"/>
      <c r="D24" s="41">
        <f>SUM(D15:D23)</f>
        <v>235961</v>
      </c>
      <c r="E24" s="32"/>
      <c r="F24" s="32">
        <f>SUM(F15:F23)</f>
        <v>237955</v>
      </c>
      <c r="G24" s="33"/>
    </row>
    <row r="25" spans="1:17" x14ac:dyDescent="0.25">
      <c r="A25" s="7" t="s">
        <v>26</v>
      </c>
      <c r="B25" s="35"/>
      <c r="C25" s="33"/>
      <c r="D25" s="35"/>
      <c r="E25" s="33"/>
      <c r="F25" s="33"/>
      <c r="G25" s="33"/>
    </row>
    <row r="26" spans="1:17" x14ac:dyDescent="0.25">
      <c r="A26" s="5" t="s">
        <v>25</v>
      </c>
      <c r="B26" s="33">
        <v>6500</v>
      </c>
      <c r="C26" s="33"/>
      <c r="D26" s="35">
        <v>8600</v>
      </c>
      <c r="E26" s="33"/>
      <c r="F26" s="33">
        <f>560*12</f>
        <v>6720</v>
      </c>
      <c r="G26" s="33">
        <f t="shared" ref="G26:G33" si="1">B26-D26</f>
        <v>-2100</v>
      </c>
      <c r="I26" s="1">
        <v>18153</v>
      </c>
      <c r="Q26" s="1">
        <f>6758*3</f>
        <v>20274</v>
      </c>
    </row>
    <row r="27" spans="1:17" x14ac:dyDescent="0.25">
      <c r="A27" s="5" t="s">
        <v>24</v>
      </c>
      <c r="B27" s="33">
        <v>6000</v>
      </c>
      <c r="C27" s="33"/>
      <c r="D27" s="35">
        <v>6000</v>
      </c>
      <c r="E27" s="33"/>
      <c r="F27" s="33">
        <v>6000</v>
      </c>
      <c r="G27" s="33">
        <f t="shared" si="1"/>
        <v>0</v>
      </c>
    </row>
    <row r="28" spans="1:17" x14ac:dyDescent="0.25">
      <c r="A28" s="5" t="s">
        <v>23</v>
      </c>
      <c r="B28" s="33">
        <v>500</v>
      </c>
      <c r="C28" s="33"/>
      <c r="D28" s="35">
        <v>1600</v>
      </c>
      <c r="E28" s="33"/>
      <c r="F28" s="33">
        <v>500</v>
      </c>
      <c r="G28" s="33">
        <f t="shared" si="1"/>
        <v>-1100</v>
      </c>
      <c r="Q28" s="1">
        <f>124400</f>
        <v>124400</v>
      </c>
    </row>
    <row r="29" spans="1:17" x14ac:dyDescent="0.25">
      <c r="A29" s="5" t="s">
        <v>22</v>
      </c>
      <c r="B29" s="33">
        <v>1500</v>
      </c>
      <c r="C29" s="33"/>
      <c r="D29" s="35">
        <v>3000</v>
      </c>
      <c r="E29" s="33"/>
      <c r="F29" s="33">
        <v>1500</v>
      </c>
      <c r="G29" s="33">
        <f t="shared" si="1"/>
        <v>-1500</v>
      </c>
      <c r="I29" s="1">
        <f>125*12</f>
        <v>1500</v>
      </c>
    </row>
    <row r="30" spans="1:17" x14ac:dyDescent="0.25">
      <c r="A30" s="5" t="s">
        <v>21</v>
      </c>
      <c r="B30" s="33">
        <v>500</v>
      </c>
      <c r="C30" s="33"/>
      <c r="D30" s="35">
        <v>2500</v>
      </c>
      <c r="E30" s="33"/>
      <c r="F30" s="33">
        <v>1800</v>
      </c>
      <c r="G30" s="33">
        <f t="shared" si="1"/>
        <v>-2000</v>
      </c>
    </row>
    <row r="31" spans="1:17" x14ac:dyDescent="0.25">
      <c r="A31" s="5" t="s">
        <v>20</v>
      </c>
      <c r="B31" s="33">
        <v>200</v>
      </c>
      <c r="C31" s="33"/>
      <c r="D31" s="35">
        <v>500</v>
      </c>
      <c r="E31" s="33"/>
      <c r="F31" s="33">
        <v>200</v>
      </c>
      <c r="G31" s="33">
        <f t="shared" si="1"/>
        <v>-300</v>
      </c>
    </row>
    <row r="32" spans="1:17" x14ac:dyDescent="0.25">
      <c r="A32" s="5" t="s">
        <v>19</v>
      </c>
      <c r="B32" s="33">
        <v>1600</v>
      </c>
      <c r="C32" s="33"/>
      <c r="D32" s="35">
        <v>2300</v>
      </c>
      <c r="E32" s="33"/>
      <c r="F32" s="33">
        <v>2000</v>
      </c>
      <c r="G32" s="33">
        <f t="shared" si="1"/>
        <v>-700</v>
      </c>
      <c r="L32" s="1">
        <f>1500*24*2</f>
        <v>72000</v>
      </c>
    </row>
    <row r="33" spans="1:12" x14ac:dyDescent="0.25">
      <c r="A33" s="5" t="s">
        <v>18</v>
      </c>
      <c r="B33" s="33">
        <v>0</v>
      </c>
      <c r="C33" s="33"/>
      <c r="D33" s="35">
        <v>1500</v>
      </c>
      <c r="E33" s="33"/>
      <c r="F33" s="33">
        <v>500</v>
      </c>
      <c r="G33" s="33">
        <f t="shared" si="1"/>
        <v>-1500</v>
      </c>
      <c r="J33" s="46">
        <f>F51-F49</f>
        <v>267503</v>
      </c>
      <c r="L33" s="1">
        <f>930*6*24</f>
        <v>133920</v>
      </c>
    </row>
    <row r="34" spans="1:12" x14ac:dyDescent="0.25">
      <c r="A34" s="6" t="s">
        <v>17</v>
      </c>
      <c r="B34" s="41">
        <f>SUM(B26:B33)</f>
        <v>16800</v>
      </c>
      <c r="C34" s="32"/>
      <c r="D34" s="41">
        <f>SUM(D26:D33)</f>
        <v>26000</v>
      </c>
      <c r="E34" s="32"/>
      <c r="F34" s="32">
        <f>SUM(F26:F33)</f>
        <v>19220</v>
      </c>
      <c r="G34" s="33"/>
      <c r="L34" s="1">
        <f>L32+L33</f>
        <v>205920</v>
      </c>
    </row>
    <row r="35" spans="1:12" x14ac:dyDescent="0.25">
      <c r="A35" s="7" t="s">
        <v>16</v>
      </c>
      <c r="B35" s="35"/>
      <c r="C35" s="33"/>
      <c r="D35" s="35"/>
      <c r="E35" s="33"/>
      <c r="F35" s="33"/>
      <c r="G35" s="33"/>
    </row>
    <row r="36" spans="1:12" x14ac:dyDescent="0.25">
      <c r="A36" s="5" t="s">
        <v>15</v>
      </c>
      <c r="B36" s="33">
        <v>9000</v>
      </c>
      <c r="C36" s="33"/>
      <c r="D36" s="35">
        <f>450*12</f>
        <v>5400</v>
      </c>
      <c r="E36" s="33"/>
      <c r="F36" s="33">
        <v>5600</v>
      </c>
      <c r="G36" s="33">
        <f>B36-D36</f>
        <v>3600</v>
      </c>
    </row>
    <row r="37" spans="1:12" x14ac:dyDescent="0.25">
      <c r="A37" s="5" t="s">
        <v>14</v>
      </c>
      <c r="B37" s="33">
        <v>19000</v>
      </c>
      <c r="C37" s="33"/>
      <c r="D37" s="35">
        <f>18300+3600</f>
        <v>21900</v>
      </c>
      <c r="E37" s="33"/>
      <c r="F37" s="33">
        <v>22000</v>
      </c>
      <c r="G37" s="33">
        <f>B37-D37</f>
        <v>-2900</v>
      </c>
    </row>
    <row r="38" spans="1:12" x14ac:dyDescent="0.25">
      <c r="A38" s="5" t="s">
        <v>13</v>
      </c>
      <c r="B38" s="33">
        <v>550</v>
      </c>
      <c r="C38" s="33"/>
      <c r="D38" s="35">
        <v>660</v>
      </c>
      <c r="E38" s="33"/>
      <c r="F38" s="33">
        <v>700</v>
      </c>
      <c r="G38" s="33">
        <f>B38-D38</f>
        <v>-110</v>
      </c>
    </row>
    <row r="39" spans="1:12" x14ac:dyDescent="0.25">
      <c r="A39" s="6" t="s">
        <v>12</v>
      </c>
      <c r="B39" s="41">
        <f>SUM(B36:B38)</f>
        <v>28550</v>
      </c>
      <c r="C39" s="32"/>
      <c r="D39" s="41">
        <f>SUM(D36:D38)</f>
        <v>27960</v>
      </c>
      <c r="E39" s="32"/>
      <c r="F39" s="32">
        <f>SUM(F36:F38)</f>
        <v>28300</v>
      </c>
      <c r="G39" s="33"/>
    </row>
    <row r="40" spans="1:12" x14ac:dyDescent="0.25">
      <c r="A40" s="6" t="s">
        <v>11</v>
      </c>
      <c r="B40" s="35"/>
      <c r="C40" s="33"/>
      <c r="D40" s="35"/>
      <c r="E40" s="33"/>
      <c r="F40" s="33"/>
      <c r="G40" s="33"/>
    </row>
    <row r="41" spans="1:12" x14ac:dyDescent="0.25">
      <c r="A41" s="5" t="s">
        <v>10</v>
      </c>
      <c r="B41" s="33">
        <v>200</v>
      </c>
      <c r="C41" s="33"/>
      <c r="D41" s="35">
        <v>250</v>
      </c>
      <c r="E41" s="33"/>
      <c r="F41" s="33">
        <v>200</v>
      </c>
      <c r="G41" s="33">
        <f t="shared" ref="G41:G48" si="2">B41-D41</f>
        <v>-50</v>
      </c>
    </row>
    <row r="42" spans="1:12" x14ac:dyDescent="0.25">
      <c r="A42" s="5" t="s">
        <v>9</v>
      </c>
      <c r="B42" s="33">
        <v>400</v>
      </c>
      <c r="C42" s="33"/>
      <c r="D42" s="35">
        <v>400</v>
      </c>
      <c r="E42" s="33"/>
      <c r="F42" s="33">
        <v>400</v>
      </c>
      <c r="G42" s="33">
        <f t="shared" si="2"/>
        <v>0</v>
      </c>
    </row>
    <row r="43" spans="1:12" x14ac:dyDescent="0.25">
      <c r="A43" s="5" t="s">
        <v>8</v>
      </c>
      <c r="B43" s="33">
        <v>5000</v>
      </c>
      <c r="C43" s="33"/>
      <c r="D43" s="35">
        <v>1000</v>
      </c>
      <c r="E43" s="33"/>
      <c r="F43" s="33">
        <v>2000</v>
      </c>
      <c r="G43" s="33">
        <f t="shared" si="2"/>
        <v>4000</v>
      </c>
    </row>
    <row r="44" spans="1:12" x14ac:dyDescent="0.25">
      <c r="A44" s="5" t="s">
        <v>7</v>
      </c>
      <c r="B44" s="33">
        <v>3000</v>
      </c>
      <c r="C44" s="33"/>
      <c r="D44" s="35">
        <v>3000</v>
      </c>
      <c r="E44" s="33"/>
      <c r="F44" s="33">
        <v>3000</v>
      </c>
      <c r="G44" s="33">
        <f t="shared" si="2"/>
        <v>0</v>
      </c>
    </row>
    <row r="45" spans="1:12" x14ac:dyDescent="0.25">
      <c r="A45" s="5" t="s">
        <v>6</v>
      </c>
      <c r="B45" s="33">
        <v>500</v>
      </c>
      <c r="C45" s="33"/>
      <c r="D45" s="34">
        <v>1200</v>
      </c>
      <c r="E45" s="33"/>
      <c r="F45" s="33">
        <v>0</v>
      </c>
      <c r="G45" s="33">
        <f t="shared" si="2"/>
        <v>-700</v>
      </c>
    </row>
    <row r="46" spans="1:12" x14ac:dyDescent="0.25">
      <c r="A46" s="5" t="s">
        <v>5</v>
      </c>
      <c r="B46" s="33">
        <f>130*12</f>
        <v>1560</v>
      </c>
      <c r="C46" s="33"/>
      <c r="D46" s="34">
        <v>1200</v>
      </c>
      <c r="E46" s="33"/>
      <c r="F46" s="33">
        <f>130*12</f>
        <v>1560</v>
      </c>
      <c r="G46" s="33">
        <f t="shared" si="2"/>
        <v>360</v>
      </c>
    </row>
    <row r="47" spans="1:12" x14ac:dyDescent="0.25">
      <c r="A47" s="5" t="s">
        <v>81</v>
      </c>
      <c r="B47" s="33">
        <v>2000</v>
      </c>
      <c r="C47" s="33"/>
      <c r="D47" s="34">
        <v>2000</v>
      </c>
      <c r="E47" s="33"/>
      <c r="F47" s="33">
        <v>0</v>
      </c>
      <c r="G47" s="33">
        <f t="shared" si="2"/>
        <v>0</v>
      </c>
    </row>
    <row r="48" spans="1:12" x14ac:dyDescent="0.25">
      <c r="A48" s="5" t="s">
        <v>4</v>
      </c>
      <c r="B48" s="33">
        <v>2500</v>
      </c>
      <c r="C48" s="33"/>
      <c r="D48" s="34">
        <v>0</v>
      </c>
      <c r="E48" s="33"/>
      <c r="F48" s="33">
        <v>500</v>
      </c>
      <c r="G48" s="33">
        <f t="shared" si="2"/>
        <v>2500</v>
      </c>
      <c r="J48" s="1">
        <f>49*24*12</f>
        <v>14112</v>
      </c>
    </row>
    <row r="49" spans="1:14" x14ac:dyDescent="0.25">
      <c r="A49" s="5" t="s">
        <v>3</v>
      </c>
      <c r="B49" s="33">
        <v>25632</v>
      </c>
      <c r="C49" s="33"/>
      <c r="D49" s="38">
        <v>25632</v>
      </c>
      <c r="E49" s="33"/>
      <c r="F49" s="33">
        <f>2136*12</f>
        <v>25632</v>
      </c>
      <c r="G49" s="33"/>
      <c r="J49" s="1">
        <f>1590+1200</f>
        <v>2790</v>
      </c>
      <c r="N49" s="1">
        <f>1425*4*21</f>
        <v>119700</v>
      </c>
    </row>
    <row r="50" spans="1:14" x14ac:dyDescent="0.25">
      <c r="A50" s="9" t="s">
        <v>2</v>
      </c>
      <c r="B50" s="43">
        <f>SUM(B41:B49)</f>
        <v>40792</v>
      </c>
      <c r="C50" s="32"/>
      <c r="D50" s="43">
        <f>SUM(D41:D49)</f>
        <v>34682</v>
      </c>
      <c r="E50" s="32"/>
      <c r="F50" s="32">
        <f>SUM(F41:F49)</f>
        <v>33292</v>
      </c>
      <c r="G50" s="33"/>
    </row>
    <row r="51" spans="1:14" x14ac:dyDescent="0.25">
      <c r="A51" s="10" t="s">
        <v>1</v>
      </c>
      <c r="B51" s="34">
        <f>SUM(B24+B34+B39+B50)-B49</f>
        <v>272165</v>
      </c>
      <c r="C51" s="33"/>
      <c r="D51" s="34">
        <f>SUM(D24+D34+D39+D50)-D49</f>
        <v>298971</v>
      </c>
      <c r="E51" s="33"/>
      <c r="F51" s="33">
        <f>SUM(F24+F34+F39+F50)-F49</f>
        <v>293135</v>
      </c>
      <c r="G51" s="33">
        <f>B51-D51</f>
        <v>-26806</v>
      </c>
    </row>
    <row r="52" spans="1:14" x14ac:dyDescent="0.25">
      <c r="A52" s="4"/>
      <c r="B52" s="3"/>
      <c r="D52" s="3"/>
      <c r="L52" s="1">
        <f>1500*2*24</f>
        <v>72000</v>
      </c>
    </row>
    <row r="53" spans="1:14" ht="13.05" customHeight="1" x14ac:dyDescent="0.25">
      <c r="A53" s="58" t="s">
        <v>78</v>
      </c>
      <c r="B53" s="58"/>
      <c r="C53" s="58"/>
      <c r="D53" s="58"/>
      <c r="L53" s="1">
        <f>930*6*24</f>
        <v>133920</v>
      </c>
    </row>
    <row r="54" spans="1:14" ht="13.05" customHeight="1" x14ac:dyDescent="0.25">
      <c r="A54" s="58"/>
      <c r="B54" s="58"/>
      <c r="C54" s="58"/>
      <c r="D54" s="58"/>
      <c r="L54" s="1">
        <f>L52+L53</f>
        <v>205920</v>
      </c>
    </row>
    <row r="55" spans="1:14" x14ac:dyDescent="0.25">
      <c r="A55" s="39" t="s">
        <v>0</v>
      </c>
      <c r="B55" s="62">
        <v>24</v>
      </c>
      <c r="C55" s="63"/>
      <c r="D55" s="64"/>
    </row>
    <row r="56" spans="1:14" x14ac:dyDescent="0.25">
      <c r="A56" s="39" t="s">
        <v>74</v>
      </c>
      <c r="B56" s="62">
        <f>F6/24/12</f>
        <v>950.78125</v>
      </c>
      <c r="C56" s="63"/>
      <c r="D56" s="64"/>
    </row>
    <row r="57" spans="1:14" x14ac:dyDescent="0.25">
      <c r="A57" s="40" t="s">
        <v>75</v>
      </c>
      <c r="B57" s="65">
        <f>B56</f>
        <v>950.78125</v>
      </c>
      <c r="C57" s="66"/>
      <c r="D57" s="67"/>
    </row>
    <row r="59" spans="1:14" x14ac:dyDescent="0.25">
      <c r="H59" s="1">
        <f>10000/24/12</f>
        <v>34.722222222222221</v>
      </c>
      <c r="I59" s="1">
        <f>20000/24/12</f>
        <v>69.444444444444443</v>
      </c>
    </row>
    <row r="60" spans="1:14" x14ac:dyDescent="0.25">
      <c r="I60" s="1">
        <f>80000/24/12</f>
        <v>277.77777777777777</v>
      </c>
    </row>
    <row r="61" spans="1:14" x14ac:dyDescent="0.25">
      <c r="H61" s="1">
        <f>10000/24/12</f>
        <v>34.722222222222221</v>
      </c>
    </row>
    <row r="62" spans="1:14" x14ac:dyDescent="0.25">
      <c r="F62" s="1">
        <f>860+104</f>
        <v>964</v>
      </c>
      <c r="I62" s="1">
        <f>40000/24/12</f>
        <v>138.88888888888889</v>
      </c>
    </row>
    <row r="65" spans="4:6" x14ac:dyDescent="0.25">
      <c r="D65" s="1">
        <f>860+104+142</f>
        <v>1106</v>
      </c>
      <c r="F65" s="1">
        <f>860</f>
        <v>860</v>
      </c>
    </row>
    <row r="66" spans="4:6" x14ac:dyDescent="0.25">
      <c r="F66" s="1">
        <f>140</f>
        <v>140</v>
      </c>
    </row>
    <row r="67" spans="4:6" x14ac:dyDescent="0.25">
      <c r="F67" s="1">
        <v>142</v>
      </c>
    </row>
    <row r="68" spans="4:6" x14ac:dyDescent="0.25">
      <c r="F68" s="1">
        <f>F65+F66+F67</f>
        <v>1142</v>
      </c>
    </row>
  </sheetData>
  <mergeCells count="5">
    <mergeCell ref="A1:G1"/>
    <mergeCell ref="A53:D54"/>
    <mergeCell ref="B55:D55"/>
    <mergeCell ref="B56:D56"/>
    <mergeCell ref="B57:D57"/>
  </mergeCells>
  <pageMargins left="0.25" right="0.25" top="0.75" bottom="0.75" header="0.3" footer="0.3"/>
  <pageSetup scale="68" fitToWidth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E83F-E9B8-444C-94BE-9A85A773499D}">
  <sheetPr>
    <tabColor rgb="FFFFFF00"/>
  </sheetPr>
  <dimension ref="A1:K25"/>
  <sheetViews>
    <sheetView zoomScaleNormal="100" workbookViewId="0">
      <selection activeCell="J16" sqref="J16"/>
    </sheetView>
  </sheetViews>
  <sheetFormatPr defaultColWidth="9" defaultRowHeight="11.4" x14ac:dyDescent="0.2"/>
  <cols>
    <col min="1" max="1" width="17" bestFit="1" customWidth="1"/>
    <col min="2" max="2" width="11" bestFit="1" customWidth="1"/>
    <col min="3" max="3" width="12" bestFit="1" customWidth="1"/>
    <col min="4" max="4" width="15.625" bestFit="1" customWidth="1"/>
    <col min="5" max="5" width="12.625" bestFit="1" customWidth="1"/>
    <col min="6" max="6" width="14.125" customWidth="1"/>
    <col min="7" max="7" width="13.625" bestFit="1" customWidth="1"/>
    <col min="8" max="8" width="18.125" bestFit="1" customWidth="1"/>
    <col min="9" max="9" width="22.75" bestFit="1" customWidth="1"/>
    <col min="10" max="10" width="22.375" customWidth="1"/>
  </cols>
  <sheetData>
    <row r="1" spans="1:11" ht="22.8" x14ac:dyDescent="0.4">
      <c r="A1" s="59" t="s">
        <v>84</v>
      </c>
      <c r="B1" s="59"/>
      <c r="C1" s="59"/>
      <c r="D1" s="59"/>
      <c r="E1" s="59"/>
      <c r="F1" s="59"/>
      <c r="G1" s="59"/>
      <c r="H1" s="59"/>
    </row>
    <row r="2" spans="1:11" ht="12" thickBot="1" x14ac:dyDescent="0.25"/>
    <row r="3" spans="1:11" ht="15.6" x14ac:dyDescent="0.3">
      <c r="A3" s="11" t="s">
        <v>47</v>
      </c>
      <c r="B3" s="12" t="s">
        <v>48</v>
      </c>
      <c r="C3" s="12" t="s">
        <v>48</v>
      </c>
      <c r="D3" s="12" t="s">
        <v>49</v>
      </c>
      <c r="E3" s="13" t="s">
        <v>50</v>
      </c>
      <c r="F3" s="12" t="s">
        <v>51</v>
      </c>
      <c r="G3" s="12" t="s">
        <v>52</v>
      </c>
      <c r="H3" s="14" t="s">
        <v>53</v>
      </c>
      <c r="I3" s="14" t="s">
        <v>53</v>
      </c>
      <c r="J3" s="54" t="s">
        <v>53</v>
      </c>
      <c r="K3" s="15"/>
    </row>
    <row r="4" spans="1:11" ht="15.6" x14ac:dyDescent="0.3">
      <c r="A4" s="16"/>
      <c r="B4" s="17" t="s">
        <v>54</v>
      </c>
      <c r="C4" s="17" t="s">
        <v>55</v>
      </c>
      <c r="D4" s="17" t="s">
        <v>56</v>
      </c>
      <c r="E4" s="18" t="s">
        <v>57</v>
      </c>
      <c r="F4" s="17" t="s">
        <v>58</v>
      </c>
      <c r="G4" s="17" t="s">
        <v>53</v>
      </c>
      <c r="H4" s="19" t="s">
        <v>83</v>
      </c>
      <c r="I4" s="19" t="s">
        <v>83</v>
      </c>
      <c r="J4" s="54" t="s">
        <v>83</v>
      </c>
      <c r="K4" s="15"/>
    </row>
    <row r="5" spans="1:11" ht="15.6" x14ac:dyDescent="0.3">
      <c r="A5" s="16"/>
      <c r="B5" s="17"/>
      <c r="C5" s="17"/>
      <c r="D5" s="17"/>
      <c r="E5" s="18" t="s">
        <v>59</v>
      </c>
      <c r="F5" s="20">
        <v>45657</v>
      </c>
      <c r="G5" s="17" t="s">
        <v>60</v>
      </c>
      <c r="H5" s="19" t="s">
        <v>61</v>
      </c>
      <c r="I5" s="19" t="s">
        <v>88</v>
      </c>
      <c r="J5" s="54" t="s">
        <v>90</v>
      </c>
      <c r="K5" s="15"/>
    </row>
    <row r="6" spans="1:11" ht="15" x14ac:dyDescent="0.25">
      <c r="A6" s="21" t="s">
        <v>63</v>
      </c>
      <c r="B6" s="22">
        <v>20</v>
      </c>
      <c r="C6" s="48">
        <v>200000</v>
      </c>
      <c r="D6" s="22">
        <v>3</v>
      </c>
      <c r="E6" s="23">
        <v>0.2</v>
      </c>
      <c r="F6" s="24">
        <f>F13*E6</f>
        <v>8064</v>
      </c>
      <c r="G6" s="24">
        <f>SUM(C6-F6)</f>
        <v>191936</v>
      </c>
      <c r="H6" s="25">
        <f>SUM(G6/D6)</f>
        <v>63978.666666666664</v>
      </c>
      <c r="I6" s="25">
        <f>H6*0.5</f>
        <v>31989.333333333332</v>
      </c>
      <c r="J6" s="55">
        <v>9596.7999999999993</v>
      </c>
      <c r="K6" s="15"/>
    </row>
    <row r="7" spans="1:11" ht="15" x14ac:dyDescent="0.25">
      <c r="A7" s="21" t="s">
        <v>64</v>
      </c>
      <c r="B7" s="22">
        <v>50</v>
      </c>
      <c r="C7" s="24">
        <v>80000</v>
      </c>
      <c r="D7" s="22">
        <v>46</v>
      </c>
      <c r="E7" s="23">
        <v>0.2</v>
      </c>
      <c r="F7" s="24">
        <f>F13*E7</f>
        <v>8064</v>
      </c>
      <c r="G7" s="24">
        <f>SUM(C7-F7)</f>
        <v>71936</v>
      </c>
      <c r="H7" s="25">
        <f>G7/D7</f>
        <v>1563.8260869565217</v>
      </c>
      <c r="I7" s="25">
        <f>H7*0.5</f>
        <v>781.91304347826087</v>
      </c>
      <c r="J7" s="55">
        <v>234.57391304347826</v>
      </c>
      <c r="K7" s="15"/>
    </row>
    <row r="8" spans="1:11" ht="15" x14ac:dyDescent="0.25">
      <c r="A8" s="21" t="s">
        <v>65</v>
      </c>
      <c r="B8" s="22">
        <v>30</v>
      </c>
      <c r="C8" s="24">
        <v>10000</v>
      </c>
      <c r="D8" s="26">
        <v>5</v>
      </c>
      <c r="E8" s="23">
        <v>0.1</v>
      </c>
      <c r="F8" s="24">
        <f>F13*E8</f>
        <v>4032</v>
      </c>
      <c r="G8" s="24">
        <f>C8-F8</f>
        <v>5968</v>
      </c>
      <c r="H8" s="25">
        <f>G8/D8</f>
        <v>1193.5999999999999</v>
      </c>
      <c r="I8" s="25">
        <f>H8*0.5</f>
        <v>596.79999999999995</v>
      </c>
      <c r="J8" s="55">
        <v>179.04</v>
      </c>
      <c r="K8" s="15"/>
    </row>
    <row r="9" spans="1:11" ht="15" x14ac:dyDescent="0.25">
      <c r="A9" s="21" t="s">
        <v>82</v>
      </c>
      <c r="B9" s="22">
        <v>20</v>
      </c>
      <c r="C9" s="24">
        <v>70000</v>
      </c>
      <c r="D9" s="26">
        <v>5</v>
      </c>
      <c r="E9" s="23">
        <v>0.1</v>
      </c>
      <c r="F9" s="24">
        <f>F13*E9</f>
        <v>4032</v>
      </c>
      <c r="G9" s="24">
        <f>C9-F9</f>
        <v>65968</v>
      </c>
      <c r="H9" s="25">
        <f>SUM(G9/D9)</f>
        <v>13193.6</v>
      </c>
      <c r="I9" s="25">
        <f>H9*0.5</f>
        <v>6596.8</v>
      </c>
      <c r="J9" s="55">
        <v>1979.04</v>
      </c>
      <c r="K9" s="15"/>
    </row>
    <row r="10" spans="1:11" ht="15" x14ac:dyDescent="0.25">
      <c r="A10" s="21" t="s">
        <v>76</v>
      </c>
      <c r="B10" s="22">
        <v>20</v>
      </c>
      <c r="C10" s="24">
        <v>150000</v>
      </c>
      <c r="D10" s="26">
        <v>20</v>
      </c>
      <c r="E10" s="23">
        <v>0.1</v>
      </c>
      <c r="F10" s="24">
        <f>F13*E10</f>
        <v>4032</v>
      </c>
      <c r="G10" s="24">
        <f>C10-F10</f>
        <v>145968</v>
      </c>
      <c r="H10" s="25">
        <f>G10/D10</f>
        <v>7298.4</v>
      </c>
      <c r="I10" s="25">
        <f>H10*0.5</f>
        <v>3649.2</v>
      </c>
      <c r="J10" s="55">
        <v>1094.76</v>
      </c>
      <c r="K10" s="15"/>
    </row>
    <row r="11" spans="1:11" ht="15" x14ac:dyDescent="0.25">
      <c r="A11" s="21" t="s">
        <v>66</v>
      </c>
      <c r="B11" s="22">
        <v>20</v>
      </c>
      <c r="C11" s="24">
        <v>15000</v>
      </c>
      <c r="D11" s="22">
        <v>17</v>
      </c>
      <c r="E11" s="23">
        <v>0.1</v>
      </c>
      <c r="F11" s="24">
        <f>F13*E11</f>
        <v>4032</v>
      </c>
      <c r="G11" s="24">
        <f>C11-F11</f>
        <v>10968</v>
      </c>
      <c r="H11" s="25">
        <f>G11/D11</f>
        <v>645.17647058823525</v>
      </c>
      <c r="I11" s="25">
        <f>H11*5</f>
        <v>3225.8823529411761</v>
      </c>
      <c r="J11" s="55">
        <v>96.776470588235284</v>
      </c>
      <c r="K11" s="15"/>
    </row>
    <row r="12" spans="1:11" ht="13.8" x14ac:dyDescent="0.25">
      <c r="A12" s="21" t="s">
        <v>67</v>
      </c>
      <c r="B12" s="22">
        <v>7</v>
      </c>
      <c r="C12" s="24">
        <v>25000</v>
      </c>
      <c r="D12" s="22">
        <v>2</v>
      </c>
      <c r="E12" s="23">
        <v>0.2</v>
      </c>
      <c r="F12" s="24">
        <f>F13*E12</f>
        <v>8064</v>
      </c>
      <c r="G12" s="24">
        <f>C12-F12</f>
        <v>16936</v>
      </c>
      <c r="H12" s="25">
        <f>G12/D12</f>
        <v>8468</v>
      </c>
      <c r="I12" s="25">
        <f>H12*0.5</f>
        <v>4234</v>
      </c>
      <c r="J12" s="55">
        <v>1270.2</v>
      </c>
    </row>
    <row r="13" spans="1:11" ht="14.4" thickBot="1" x14ac:dyDescent="0.3">
      <c r="A13" s="27" t="s">
        <v>68</v>
      </c>
      <c r="B13" s="28"/>
      <c r="C13" s="29">
        <f>SUM(C6:C12)</f>
        <v>550000</v>
      </c>
      <c r="D13" s="28"/>
      <c r="E13" s="30">
        <f>SUM(E6:E12)</f>
        <v>1</v>
      </c>
      <c r="F13" s="29">
        <v>40320</v>
      </c>
      <c r="G13" s="29">
        <f>SUM(G6:G12)</f>
        <v>509680</v>
      </c>
      <c r="H13" s="49">
        <f>SUM(H6:H12)</f>
        <v>96341.269224211428</v>
      </c>
      <c r="I13" s="49">
        <f>SUM(I6:I12)</f>
        <v>51073.92872975277</v>
      </c>
      <c r="J13" s="55">
        <v>14451.190383631714</v>
      </c>
    </row>
    <row r="15" spans="1:11" ht="13.8" x14ac:dyDescent="0.25">
      <c r="A15" s="60" t="s">
        <v>69</v>
      </c>
      <c r="B15" s="60"/>
      <c r="C15" s="60"/>
      <c r="D15" s="60" t="s">
        <v>70</v>
      </c>
      <c r="E15" s="60"/>
      <c r="F15" s="60"/>
      <c r="G15" s="60"/>
      <c r="H15" s="51"/>
      <c r="I15" s="69" t="s">
        <v>89</v>
      </c>
      <c r="J15" s="44">
        <f>J13/24/12</f>
        <v>50.177744387610119</v>
      </c>
    </row>
    <row r="16" spans="1:11" ht="27.6" x14ac:dyDescent="0.25">
      <c r="A16" s="17" t="s">
        <v>71</v>
      </c>
      <c r="B16" s="71" t="s">
        <v>85</v>
      </c>
      <c r="C16" s="71"/>
      <c r="D16" s="71"/>
      <c r="E16" s="61" t="s">
        <v>77</v>
      </c>
      <c r="F16" s="61"/>
      <c r="G16" s="31" t="s">
        <v>86</v>
      </c>
      <c r="H16" s="31" t="s">
        <v>62</v>
      </c>
      <c r="I16" s="70"/>
    </row>
    <row r="17" spans="1:9" ht="13.2" x14ac:dyDescent="0.25">
      <c r="A17" s="36" t="s">
        <v>71</v>
      </c>
      <c r="B17" s="68">
        <f>SUM('Budget 2025'!B56:D56)</f>
        <v>950.78125</v>
      </c>
      <c r="C17" s="68"/>
      <c r="D17" s="68"/>
      <c r="E17" s="68">
        <f>SUM(H13/24)/12</f>
        <v>334.51829591740079</v>
      </c>
      <c r="F17" s="68"/>
      <c r="G17" s="45">
        <f>SUM(B17+E17)</f>
        <v>1285.2995459174008</v>
      </c>
      <c r="H17" s="45">
        <f>I13/24/12</f>
        <v>177.34003031164158</v>
      </c>
      <c r="I17" s="45">
        <f>B17+H17</f>
        <v>1128.1212803116416</v>
      </c>
    </row>
    <row r="21" spans="1:9" x14ac:dyDescent="0.2">
      <c r="H21" s="44"/>
    </row>
    <row r="23" spans="1:9" x14ac:dyDescent="0.2">
      <c r="D23" s="50">
        <f>B17+E23</f>
        <v>1118.28125</v>
      </c>
      <c r="E23">
        <f>335/2</f>
        <v>167.5</v>
      </c>
      <c r="F23" s="44">
        <f>SUM(E17*4)</f>
        <v>1338.0731836696032</v>
      </c>
    </row>
    <row r="25" spans="1:9" x14ac:dyDescent="0.2">
      <c r="G25">
        <f>140*12*24</f>
        <v>40320</v>
      </c>
    </row>
  </sheetData>
  <mergeCells count="8">
    <mergeCell ref="B17:D17"/>
    <mergeCell ref="E17:F17"/>
    <mergeCell ref="D15:G15"/>
    <mergeCell ref="I15:I16"/>
    <mergeCell ref="A1:H1"/>
    <mergeCell ref="A15:C15"/>
    <mergeCell ref="B16:D16"/>
    <mergeCell ref="E16:F16"/>
  </mergeCells>
  <pageMargins left="0.25" right="0.25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E95A-F3F3-43CE-9506-B4C2146BDB24}">
  <sheetPr>
    <tabColor rgb="FFFFFF00"/>
  </sheetPr>
  <dimension ref="A1:S25"/>
  <sheetViews>
    <sheetView zoomScaleNormal="100" workbookViewId="0">
      <selection activeCell="I11" sqref="I11"/>
    </sheetView>
  </sheetViews>
  <sheetFormatPr defaultColWidth="9" defaultRowHeight="11.4" x14ac:dyDescent="0.2"/>
  <cols>
    <col min="1" max="1" width="17" bestFit="1" customWidth="1"/>
    <col min="2" max="2" width="12" hidden="1" customWidth="1"/>
    <col min="3" max="3" width="12" bestFit="1" customWidth="1"/>
    <col min="4" max="4" width="15.625" hidden="1" customWidth="1"/>
    <col min="5" max="5" width="12.625" bestFit="1" customWidth="1"/>
    <col min="6" max="6" width="14.125" hidden="1" customWidth="1"/>
    <col min="7" max="7" width="14.875" bestFit="1" customWidth="1"/>
    <col min="8" max="9" width="22.75" bestFit="1" customWidth="1"/>
    <col min="10" max="10" width="22.375" customWidth="1"/>
  </cols>
  <sheetData>
    <row r="1" spans="1:19" ht="22.8" x14ac:dyDescent="0.4">
      <c r="A1" s="59" t="s">
        <v>84</v>
      </c>
      <c r="B1" s="59"/>
      <c r="C1" s="59"/>
      <c r="D1" s="59"/>
      <c r="E1" s="59"/>
      <c r="F1" s="59"/>
      <c r="G1" s="59"/>
      <c r="H1" s="59"/>
    </row>
    <row r="2" spans="1:19" ht="12" thickBot="1" x14ac:dyDescent="0.25"/>
    <row r="3" spans="1:19" ht="15" x14ac:dyDescent="0.25">
      <c r="A3" s="11" t="s">
        <v>47</v>
      </c>
      <c r="B3" s="12" t="s">
        <v>48</v>
      </c>
      <c r="C3" s="12" t="s">
        <v>49</v>
      </c>
      <c r="D3" s="13" t="s">
        <v>50</v>
      </c>
      <c r="E3" s="12" t="s">
        <v>51</v>
      </c>
      <c r="F3" s="12" t="s">
        <v>52</v>
      </c>
      <c r="G3" s="14" t="s">
        <v>53</v>
      </c>
      <c r="H3" s="14" t="s">
        <v>53</v>
      </c>
      <c r="I3" s="14" t="s">
        <v>53</v>
      </c>
      <c r="J3" s="15"/>
      <c r="K3" t="s">
        <v>69</v>
      </c>
      <c r="N3" t="s">
        <v>70</v>
      </c>
      <c r="S3" t="s">
        <v>89</v>
      </c>
    </row>
    <row r="4" spans="1:19" ht="15" x14ac:dyDescent="0.25">
      <c r="A4" s="16"/>
      <c r="B4" s="17" t="s">
        <v>55</v>
      </c>
      <c r="C4" s="17" t="s">
        <v>56</v>
      </c>
      <c r="D4" s="18" t="s">
        <v>57</v>
      </c>
      <c r="E4" s="17" t="s">
        <v>58</v>
      </c>
      <c r="F4" s="17" t="s">
        <v>53</v>
      </c>
      <c r="G4" s="19" t="s">
        <v>83</v>
      </c>
      <c r="H4" s="19" t="s">
        <v>83</v>
      </c>
      <c r="I4" s="19" t="s">
        <v>83</v>
      </c>
      <c r="J4" s="15"/>
      <c r="K4" t="s">
        <v>71</v>
      </c>
      <c r="L4" t="s">
        <v>85</v>
      </c>
      <c r="O4" t="s">
        <v>77</v>
      </c>
      <c r="Q4" t="s">
        <v>86</v>
      </c>
      <c r="R4" t="s">
        <v>62</v>
      </c>
    </row>
    <row r="5" spans="1:19" ht="15" x14ac:dyDescent="0.25">
      <c r="A5" s="16"/>
      <c r="B5" s="17"/>
      <c r="C5" s="17"/>
      <c r="D5" s="18" t="s">
        <v>59</v>
      </c>
      <c r="E5" s="20">
        <v>45657</v>
      </c>
      <c r="F5" s="17" t="s">
        <v>60</v>
      </c>
      <c r="G5" s="19" t="s">
        <v>61</v>
      </c>
      <c r="H5" s="19" t="s">
        <v>88</v>
      </c>
      <c r="I5" s="19" t="s">
        <v>90</v>
      </c>
      <c r="J5" s="15"/>
      <c r="K5" t="s">
        <v>71</v>
      </c>
      <c r="L5">
        <v>950.78125</v>
      </c>
      <c r="O5">
        <v>334.51829591740079</v>
      </c>
      <c r="Q5">
        <v>1285.2995459174008</v>
      </c>
      <c r="R5">
        <v>177.34003031164158</v>
      </c>
      <c r="S5">
        <v>1128.1212803116416</v>
      </c>
    </row>
    <row r="6" spans="1:19" ht="15" x14ac:dyDescent="0.25">
      <c r="A6" s="21" t="s">
        <v>63</v>
      </c>
      <c r="B6" s="48">
        <v>200000</v>
      </c>
      <c r="C6" s="22">
        <v>3</v>
      </c>
      <c r="D6" s="52">
        <v>0.2</v>
      </c>
      <c r="E6" s="53">
        <f>E13*D6</f>
        <v>8064</v>
      </c>
      <c r="F6" s="24">
        <f>SUM(B6-E6)</f>
        <v>191936</v>
      </c>
      <c r="G6" s="25">
        <f>SUM(F6/C6)</f>
        <v>63978.666666666664</v>
      </c>
      <c r="H6" s="25">
        <f t="shared" ref="H6:H12" si="0">G6*0.5</f>
        <v>31989.333333333332</v>
      </c>
      <c r="I6" s="25">
        <f t="shared" ref="I6:I12" si="1">G6*0.15</f>
        <v>9596.7999999999993</v>
      </c>
      <c r="J6" s="15"/>
    </row>
    <row r="7" spans="1:19" ht="15" x14ac:dyDescent="0.25">
      <c r="A7" s="21" t="s">
        <v>64</v>
      </c>
      <c r="B7" s="24">
        <v>80000</v>
      </c>
      <c r="C7" s="22">
        <v>46</v>
      </c>
      <c r="D7" s="52">
        <v>0.2</v>
      </c>
      <c r="E7" s="53">
        <f>E13*D7</f>
        <v>8064</v>
      </c>
      <c r="F7" s="24">
        <f>SUM(B7-E7)</f>
        <v>71936</v>
      </c>
      <c r="G7" s="25">
        <f>F7/C7</f>
        <v>1563.8260869565217</v>
      </c>
      <c r="H7" s="25">
        <f t="shared" si="0"/>
        <v>781.91304347826087</v>
      </c>
      <c r="I7" s="25">
        <f t="shared" si="1"/>
        <v>234.57391304347826</v>
      </c>
      <c r="J7" s="15"/>
    </row>
    <row r="8" spans="1:19" ht="15" x14ac:dyDescent="0.25">
      <c r="A8" s="21" t="s">
        <v>65</v>
      </c>
      <c r="B8" s="24">
        <v>10000</v>
      </c>
      <c r="C8" s="26">
        <v>5</v>
      </c>
      <c r="D8" s="52">
        <v>0.1</v>
      </c>
      <c r="E8" s="53">
        <f>E13*D8</f>
        <v>4032</v>
      </c>
      <c r="F8" s="24">
        <f>B8-E8</f>
        <v>5968</v>
      </c>
      <c r="G8" s="25">
        <f>F8/C8</f>
        <v>1193.5999999999999</v>
      </c>
      <c r="H8" s="25">
        <f t="shared" si="0"/>
        <v>596.79999999999995</v>
      </c>
      <c r="I8" s="25">
        <f t="shared" si="1"/>
        <v>179.04</v>
      </c>
      <c r="J8" s="15"/>
    </row>
    <row r="9" spans="1:19" ht="15" x14ac:dyDescent="0.25">
      <c r="A9" s="21" t="s">
        <v>82</v>
      </c>
      <c r="B9" s="24">
        <v>70000</v>
      </c>
      <c r="C9" s="26">
        <v>5</v>
      </c>
      <c r="D9" s="52">
        <v>0.1</v>
      </c>
      <c r="E9" s="53">
        <f>E13*D9</f>
        <v>4032</v>
      </c>
      <c r="F9" s="24">
        <f>B9-E9</f>
        <v>65968</v>
      </c>
      <c r="G9" s="25">
        <f>SUM(F9/C9)</f>
        <v>13193.6</v>
      </c>
      <c r="H9" s="25">
        <f t="shared" si="0"/>
        <v>6596.8</v>
      </c>
      <c r="I9" s="25">
        <f t="shared" si="1"/>
        <v>1979.04</v>
      </c>
      <c r="J9" s="15"/>
    </row>
    <row r="10" spans="1:19" ht="15" x14ac:dyDescent="0.25">
      <c r="A10" s="21" t="s">
        <v>76</v>
      </c>
      <c r="B10" s="24">
        <v>150000</v>
      </c>
      <c r="C10" s="26">
        <v>20</v>
      </c>
      <c r="D10" s="52">
        <v>0.1</v>
      </c>
      <c r="E10" s="53">
        <f>E13*D10</f>
        <v>4032</v>
      </c>
      <c r="F10" s="24">
        <f>B10-E10</f>
        <v>145968</v>
      </c>
      <c r="G10" s="25">
        <f>F10/C10</f>
        <v>7298.4</v>
      </c>
      <c r="H10" s="25">
        <f t="shared" si="0"/>
        <v>3649.2</v>
      </c>
      <c r="I10" s="25">
        <f t="shared" si="1"/>
        <v>1094.76</v>
      </c>
      <c r="J10" s="15"/>
    </row>
    <row r="11" spans="1:19" ht="15" x14ac:dyDescent="0.25">
      <c r="A11" s="21" t="s">
        <v>66</v>
      </c>
      <c r="B11" s="24">
        <v>15000</v>
      </c>
      <c r="C11" s="22">
        <v>17</v>
      </c>
      <c r="D11" s="52">
        <v>0.1</v>
      </c>
      <c r="E11" s="53">
        <f>E13*D11</f>
        <v>4032</v>
      </c>
      <c r="F11" s="24">
        <f>B11-E11</f>
        <v>10968</v>
      </c>
      <c r="G11" s="25">
        <f>F11/C11</f>
        <v>645.17647058823525</v>
      </c>
      <c r="H11" s="56">
        <f t="shared" si="0"/>
        <v>322.58823529411762</v>
      </c>
      <c r="I11" s="25">
        <f t="shared" si="1"/>
        <v>96.776470588235284</v>
      </c>
      <c r="J11" s="15"/>
    </row>
    <row r="12" spans="1:19" ht="13.2" x14ac:dyDescent="0.25">
      <c r="A12" s="21" t="s">
        <v>67</v>
      </c>
      <c r="B12" s="24">
        <v>25000</v>
      </c>
      <c r="C12" s="22">
        <v>2</v>
      </c>
      <c r="D12" s="52">
        <v>0.2</v>
      </c>
      <c r="E12" s="53">
        <f>E13*D12</f>
        <v>8064</v>
      </c>
      <c r="F12" s="24">
        <f>B12-E12</f>
        <v>16936</v>
      </c>
      <c r="G12" s="25">
        <f>F12/C12</f>
        <v>8468</v>
      </c>
      <c r="H12" s="25">
        <f t="shared" si="0"/>
        <v>4234</v>
      </c>
      <c r="I12" s="25">
        <f t="shared" si="1"/>
        <v>1270.2</v>
      </c>
    </row>
    <row r="13" spans="1:19" ht="13.8" thickBot="1" x14ac:dyDescent="0.3">
      <c r="A13" s="27" t="s">
        <v>68</v>
      </c>
      <c r="B13" s="29">
        <f>SUM(B6:B12)</f>
        <v>550000</v>
      </c>
      <c r="C13" s="28"/>
      <c r="D13" s="30">
        <f>SUM(D6:D12)</f>
        <v>1</v>
      </c>
      <c r="E13" s="29">
        <v>40320</v>
      </c>
      <c r="F13" s="29">
        <f>SUM(F6:F12)</f>
        <v>509680</v>
      </c>
      <c r="G13" s="49">
        <f>SUM(G6:G12)</f>
        <v>96341.269224211428</v>
      </c>
      <c r="H13" s="49">
        <f>SUM(H6:H12)</f>
        <v>48170.634612105714</v>
      </c>
      <c r="I13" s="49">
        <f>SUM(I6:I12)</f>
        <v>14451.190383631714</v>
      </c>
    </row>
    <row r="15" spans="1:19" ht="13.8" x14ac:dyDescent="0.25">
      <c r="A15" s="60" t="s">
        <v>69</v>
      </c>
      <c r="B15" s="60"/>
      <c r="C15" s="60"/>
      <c r="D15" s="60" t="s">
        <v>70</v>
      </c>
      <c r="E15" s="60"/>
      <c r="F15" s="60"/>
      <c r="G15" s="60"/>
      <c r="H15" s="51"/>
      <c r="I15" s="69" t="s">
        <v>89</v>
      </c>
    </row>
    <row r="16" spans="1:19" ht="13.8" x14ac:dyDescent="0.25">
      <c r="A16" s="17" t="s">
        <v>71</v>
      </c>
      <c r="B16" s="71" t="s">
        <v>85</v>
      </c>
      <c r="C16" s="71"/>
      <c r="D16" s="71"/>
      <c r="E16" s="61" t="s">
        <v>77</v>
      </c>
      <c r="F16" s="61"/>
      <c r="G16" s="31" t="s">
        <v>86</v>
      </c>
      <c r="H16" s="31" t="s">
        <v>62</v>
      </c>
      <c r="I16" s="70"/>
    </row>
    <row r="17" spans="1:9" ht="13.2" x14ac:dyDescent="0.25">
      <c r="A17" s="36" t="s">
        <v>71</v>
      </c>
      <c r="B17" s="68">
        <f>SUM('Budget 2025'!B56:D56)</f>
        <v>950.78125</v>
      </c>
      <c r="C17" s="68"/>
      <c r="D17" s="68"/>
      <c r="E17" s="68">
        <f>SUM(G13/24)/12</f>
        <v>334.51829591740079</v>
      </c>
      <c r="F17" s="68"/>
      <c r="G17" s="45">
        <f>SUM(B17+E17)</f>
        <v>1285.2995459174008</v>
      </c>
      <c r="H17" s="45">
        <f>H13/24/12</f>
        <v>167.2591479587004</v>
      </c>
      <c r="I17" s="45">
        <f>B17+H17</f>
        <v>1118.0403979587004</v>
      </c>
    </row>
    <row r="21" spans="1:9" x14ac:dyDescent="0.2">
      <c r="H21" s="44"/>
    </row>
    <row r="23" spans="1:9" x14ac:dyDescent="0.2">
      <c r="D23" s="50">
        <f>B17+E23</f>
        <v>1118.28125</v>
      </c>
      <c r="E23">
        <f>335/2</f>
        <v>167.5</v>
      </c>
      <c r="F23" s="44">
        <f>SUM(E17*4)</f>
        <v>1338.0731836696032</v>
      </c>
      <c r="H23" s="44">
        <f>G13*0.15</f>
        <v>14451.190383631714</v>
      </c>
      <c r="I23" s="44">
        <f>I13/24/12</f>
        <v>50.177744387610119</v>
      </c>
    </row>
    <row r="25" spans="1:9" x14ac:dyDescent="0.2">
      <c r="G25">
        <f>140*12*24</f>
        <v>40320</v>
      </c>
    </row>
  </sheetData>
  <mergeCells count="8">
    <mergeCell ref="I15:I16"/>
    <mergeCell ref="B16:D16"/>
    <mergeCell ref="E16:F16"/>
    <mergeCell ref="B17:D17"/>
    <mergeCell ref="E17:F17"/>
    <mergeCell ref="A1:H1"/>
    <mergeCell ref="A15:C15"/>
    <mergeCell ref="D15:G15"/>
  </mergeCells>
  <pageMargins left="0.25" right="0.25" top="0.75" bottom="0.75" header="0.3" footer="0.3"/>
  <pageSetup scale="75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2025</vt:lpstr>
      <vt:lpstr>reserves 2025</vt:lpstr>
      <vt:lpstr>reserves 2025 pooling</vt:lpstr>
      <vt:lpstr>'Budget 2025'!Print_Area</vt:lpstr>
      <vt:lpstr>'reserves 2025 pooling'!Print_Area</vt:lpstr>
      <vt:lpstr>'Budget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V</dc:creator>
  <cp:lastModifiedBy>jamie blum</cp:lastModifiedBy>
  <cp:lastPrinted>2024-10-29T12:51:34Z</cp:lastPrinted>
  <dcterms:created xsi:type="dcterms:W3CDTF">2021-09-30T18:15:03Z</dcterms:created>
  <dcterms:modified xsi:type="dcterms:W3CDTF">2025-03-03T02:46:40Z</dcterms:modified>
</cp:coreProperties>
</file>