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62C196F7-5066-4D10-A7E5-06F6D59019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dget 2025" sheetId="37" r:id="rId1"/>
    <sheet name="reserves 2025" sheetId="36" r:id="rId2"/>
    <sheet name="assessment 2025" sheetId="38" r:id="rId3"/>
  </sheets>
  <definedNames>
    <definedName name="_xlnm.Print_Area" localSheetId="0">'budget 2025'!$A$1:$D$53</definedName>
    <definedName name="_xlnm.Print_Area" localSheetId="1">'reserves 2025'!$A$1:$I$32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38" l="1"/>
  <c r="D5" i="38"/>
  <c r="D4" i="38"/>
  <c r="F4" i="38"/>
  <c r="F3" i="38"/>
  <c r="D3" i="38"/>
  <c r="E3" i="38" s="1"/>
  <c r="C3" i="38"/>
  <c r="I5" i="38"/>
  <c r="I4" i="38"/>
  <c r="I3" i="38"/>
  <c r="C5" i="38"/>
  <c r="C4" i="38"/>
  <c r="D47" i="37"/>
  <c r="J49" i="37"/>
  <c r="H6" i="36"/>
  <c r="K13" i="36"/>
  <c r="K11" i="36"/>
  <c r="K10" i="36"/>
  <c r="K7" i="36"/>
  <c r="J14" i="36"/>
  <c r="J11" i="36"/>
  <c r="J10" i="36"/>
  <c r="J9" i="36"/>
  <c r="J7" i="36"/>
  <c r="E14" i="36"/>
  <c r="G14" i="36" s="1"/>
  <c r="K14" i="36" s="1"/>
  <c r="E13" i="36"/>
  <c r="G13" i="36" s="1"/>
  <c r="J13" i="36" s="1"/>
  <c r="E11" i="36"/>
  <c r="G11" i="36" s="1"/>
  <c r="E10" i="36"/>
  <c r="G10" i="36" s="1"/>
  <c r="E9" i="36"/>
  <c r="G9" i="36" s="1"/>
  <c r="K9" i="36" s="1"/>
  <c r="E8" i="36"/>
  <c r="G8" i="36" s="1"/>
  <c r="J8" i="36" s="1"/>
  <c r="E7" i="36"/>
  <c r="G7" i="36" s="1"/>
  <c r="E6" i="36"/>
  <c r="G6" i="36" s="1"/>
  <c r="K6" i="36" s="1"/>
  <c r="E15" i="36"/>
  <c r="G15" i="36" s="1"/>
  <c r="K15" i="36" s="1"/>
  <c r="D16" i="36"/>
  <c r="C50" i="37"/>
  <c r="C21" i="36" s="1"/>
  <c r="B45" i="37"/>
  <c r="D34" i="37"/>
  <c r="D38" i="37" s="1"/>
  <c r="M47" i="37"/>
  <c r="H45" i="37"/>
  <c r="H44" i="37"/>
  <c r="D43" i="37"/>
  <c r="C43" i="37"/>
  <c r="B43" i="37"/>
  <c r="B38" i="37"/>
  <c r="C33" i="37"/>
  <c r="C38" i="37" s="1"/>
  <c r="F32" i="37"/>
  <c r="E30" i="37"/>
  <c r="F30" i="37" s="1"/>
  <c r="D28" i="37"/>
  <c r="B28" i="37"/>
  <c r="G26" i="37"/>
  <c r="C26" i="37"/>
  <c r="C28" i="37" s="1"/>
  <c r="D19" i="37"/>
  <c r="C19" i="37"/>
  <c r="B19" i="37"/>
  <c r="B8" i="37"/>
  <c r="C8" i="37"/>
  <c r="C16" i="36"/>
  <c r="E12" i="36"/>
  <c r="G12" i="36" s="1"/>
  <c r="J12" i="36" s="1"/>
  <c r="G5" i="38" l="1"/>
  <c r="E4" i="38"/>
  <c r="K8" i="36"/>
  <c r="E5" i="38"/>
  <c r="G4" i="38"/>
  <c r="G3" i="38"/>
  <c r="K12" i="36"/>
  <c r="J6" i="36"/>
  <c r="K16" i="36"/>
  <c r="H15" i="36"/>
  <c r="H16" i="36" s="1"/>
  <c r="J15" i="36"/>
  <c r="D5" i="37"/>
  <c r="B47" i="37"/>
  <c r="C52" i="37"/>
  <c r="D45" i="37"/>
  <c r="D6" i="37" s="1"/>
  <c r="G16" i="36"/>
  <c r="C47" i="37"/>
  <c r="J16" i="36" l="1"/>
  <c r="D52" i="37"/>
  <c r="C23" i="36"/>
  <c r="D23" i="36"/>
  <c r="C51" i="37"/>
  <c r="D22" i="36"/>
  <c r="D21" i="36"/>
  <c r="F22" i="36" l="1"/>
  <c r="J22" i="36"/>
  <c r="J21" i="36"/>
  <c r="F21" i="36"/>
  <c r="G21" i="36" s="1"/>
  <c r="F23" i="36"/>
  <c r="G23" i="36" s="1"/>
  <c r="J23" i="36"/>
  <c r="E23" i="36"/>
  <c r="D51" i="37"/>
  <c r="C22" i="36"/>
  <c r="G22" i="36" s="1"/>
  <c r="D8" i="37"/>
  <c r="D50" i="37"/>
  <c r="D53" i="37" s="1"/>
  <c r="E21" i="36"/>
  <c r="E22" i="36"/>
</calcChain>
</file>

<file path=xl/sharedStrings.xml><?xml version="1.0" encoding="utf-8"?>
<sst xmlns="http://schemas.openxmlformats.org/spreadsheetml/2006/main" count="99" uniqueCount="85">
  <si>
    <t>Income</t>
  </si>
  <si>
    <t>Maintenance Fees</t>
  </si>
  <si>
    <t>Late Fee Income</t>
  </si>
  <si>
    <t>Expenses</t>
  </si>
  <si>
    <t>Administrative Expenses</t>
  </si>
  <si>
    <t>Licenses and Permits</t>
  </si>
  <si>
    <t>Office Supplies</t>
  </si>
  <si>
    <t>Statement Fee</t>
  </si>
  <si>
    <t>Postage</t>
  </si>
  <si>
    <t>Total Administrative Expense</t>
  </si>
  <si>
    <t>Contract Expense</t>
  </si>
  <si>
    <t>Cable</t>
  </si>
  <si>
    <t>Fire Extinguishers</t>
  </si>
  <si>
    <t>Garbage</t>
  </si>
  <si>
    <t>Janitoral Fee</t>
  </si>
  <si>
    <t>Management Fee</t>
  </si>
  <si>
    <t>Pest Control</t>
  </si>
  <si>
    <t>Total Contract Expense</t>
  </si>
  <si>
    <t>Insurance Expense</t>
  </si>
  <si>
    <t>Repairs and Maint Expense</t>
  </si>
  <si>
    <t>Landscaping</t>
  </si>
  <si>
    <t>Master Association</t>
  </si>
  <si>
    <t>Tree Trimming</t>
  </si>
  <si>
    <t xml:space="preserve">Repairs and Maint  </t>
  </si>
  <si>
    <t>Total Repairs and Maint Expense</t>
  </si>
  <si>
    <t>Taxes</t>
  </si>
  <si>
    <t>Utility Expense</t>
  </si>
  <si>
    <t xml:space="preserve">Electrical </t>
  </si>
  <si>
    <t>Water</t>
  </si>
  <si>
    <t>Total Utility Expense</t>
  </si>
  <si>
    <t xml:space="preserve">Estimated </t>
  </si>
  <si>
    <t>Bad Debt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</si>
  <si>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</si>
  <si>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Item</t>
  </si>
  <si>
    <t>Estimated</t>
  </si>
  <si>
    <t>% Per Each</t>
  </si>
  <si>
    <t xml:space="preserve">Money in </t>
  </si>
  <si>
    <t>Years left</t>
  </si>
  <si>
    <t>Life</t>
  </si>
  <si>
    <t>Cost</t>
  </si>
  <si>
    <t>Reserve</t>
  </si>
  <si>
    <t xml:space="preserve">for </t>
  </si>
  <si>
    <t>Painting</t>
  </si>
  <si>
    <t>Roof</t>
  </si>
  <si>
    <t>Total</t>
  </si>
  <si>
    <t xml:space="preserve">Units: </t>
  </si>
  <si>
    <t>Percentage</t>
  </si>
  <si>
    <t>Landscape Replacement</t>
  </si>
  <si>
    <t>Building Restoration</t>
  </si>
  <si>
    <t>CMA</t>
  </si>
  <si>
    <t xml:space="preserve">Paving Parking </t>
  </si>
  <si>
    <t>Legal</t>
  </si>
  <si>
    <t>Paving Roads</t>
  </si>
  <si>
    <t>Stairs</t>
  </si>
  <si>
    <t xml:space="preserve">Monthly Maintenance with  Full Reserves </t>
  </si>
  <si>
    <t>Reserve Transfer (Partial)</t>
  </si>
  <si>
    <t>Reserve Transfer (Full)</t>
  </si>
  <si>
    <t>Proposed Budget</t>
  </si>
  <si>
    <t>Attorney Fees</t>
  </si>
  <si>
    <t>Total Expenses without Reserves</t>
  </si>
  <si>
    <t>A - 104, 110, 204, 210</t>
  </si>
  <si>
    <t>C - 102, 103, 105, 106, 107, 108, 109, 111, 112, 202, 203, 205, 206, 207, 208, 209, 211, 212</t>
  </si>
  <si>
    <t>CC - 101, 114, 201, 214</t>
  </si>
  <si>
    <t>Approved Budget</t>
  </si>
  <si>
    <t>Total Income</t>
  </si>
  <si>
    <t>Maintenance without Reserves</t>
  </si>
  <si>
    <t>Reserves Monthly without Maintenance fees</t>
  </si>
  <si>
    <t>Electrical Panel</t>
  </si>
  <si>
    <t>Roof Expense</t>
  </si>
  <si>
    <t>Units: 26</t>
  </si>
  <si>
    <t>Reserves Income</t>
  </si>
  <si>
    <t>Funded for 2025</t>
  </si>
  <si>
    <t>Reserves 2024</t>
  </si>
  <si>
    <t>Lago Del Rey #4 Condominium Association, Inc.
Amended Budget for 2025
Period from January 1, 2025 to December 31, 2025</t>
  </si>
  <si>
    <t>Website</t>
  </si>
  <si>
    <t>Monthly Maintenance with Partial  Reserves at 40%</t>
  </si>
  <si>
    <t>Patrial Reserves 40% Monthly without Maintenance fees</t>
  </si>
  <si>
    <t>Lago Del Ray #4 Reserves 2025 - Revised</t>
  </si>
  <si>
    <t>%</t>
  </si>
  <si>
    <t>9 Years/108 months</t>
  </si>
  <si>
    <t>8% interest</t>
  </si>
  <si>
    <t>3 years</t>
  </si>
  <si>
    <t>construction interest</t>
  </si>
  <si>
    <t>8% interest monthly</t>
  </si>
  <si>
    <t>8% interest yearly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</si>
</sst>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0" fontId="1" fillId="2" borderId="8" xfId="0" applyNumberFormat="1" applyFont="1" applyFill="1" applyBorder="1" applyAlignment="1">
      <alignment horizontal="center"/>
    </xf>
    <xf numFmtId="164" fontId="0" fillId="0" borderId="0" xfId="0" applyNumberFormat="1"/>
    <xf numFmtId="165" fontId="3" fillId="0" borderId="5" xfId="0" applyNumberFormat="1" applyFont="1" applyBorder="1" applyAlignment="1">
      <alignment horizontal="center"/>
    </xf>
    <xf numFmtId="9" fontId="0" fillId="0" borderId="0" xfId="0" applyNumberFormat="1"/>
    <xf numFmtId="164" fontId="1" fillId="3" borderId="9" xfId="0" applyNumberFormat="1" applyFont="1" applyFill="1" applyBorder="1" applyAlignment="1">
      <alignment horizontal="center"/>
    </xf>
    <xf numFmtId="9" fontId="1" fillId="0" borderId="6" xfId="0" applyNumberFormat="1" applyFont="1" applyBorder="1" applyAlignment="1">
      <alignment horizontal="center"/>
    </xf>
    <xf numFmtId="0" fontId="2" fillId="0" borderId="0" xfId="0" applyFont="1"/>
    <xf numFmtId="165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9" fontId="4" fillId="0" borderId="0" xfId="0" applyNumberFormat="1" applyFont="1"/>
    <xf numFmtId="164" fontId="4" fillId="0" borderId="0" xfId="0" applyNumberFormat="1" applyFont="1" applyAlignment="1">
      <alignment horizontal="center"/>
    </xf>
    <xf numFmtId="2" fontId="4" fillId="0" borderId="0" xfId="0" applyNumberFormat="1" applyFont="1"/>
    <xf numFmtId="164" fontId="4" fillId="0" borderId="12" xfId="0" applyNumberFormat="1" applyFont="1" applyBorder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4" fillId="0" borderId="0" xfId="0" applyNumberFormat="1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6" fillId="0" borderId="5" xfId="0" applyFont="1" applyBorder="1" applyAlignment="1">
      <alignment horizontal="center"/>
    </xf>
    <xf numFmtId="9" fontId="1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164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0980-2B77-439B-96C4-0286B7B9EACC}">
  <sheetPr>
    <tabColor rgb="FF92D050"/>
  </sheetPr>
  <dimension ref="A1:M53"/>
  <sheetViews>
    <sheetView tabSelected="1" zoomScaleNormal="100" zoomScaleSheetLayoutView="90" workbookViewId="0">
      <selection activeCell="B11" sqref="B11"/>
    </sheetView>
  </sheetViews>
  <sheetFormatPr defaultColWidth="8.77734375" defaultRowHeight="15" x14ac:dyDescent="0.25"/>
  <cols>
    <col min="1" max="1" width="36.44140625" style="22" customWidth="1"/>
    <col min="2" max="2" width="20.77734375" style="33" bestFit="1" customWidth="1"/>
    <col min="3" max="3" width="28.44140625" style="33" customWidth="1"/>
    <col min="4" max="4" width="25.44140625" style="33" customWidth="1"/>
    <col min="5" max="5" width="15.44140625" style="22" customWidth="1"/>
    <col min="6" max="6" width="11.77734375" style="22" bestFit="1" customWidth="1"/>
    <col min="7" max="7" width="9.44140625" style="22" customWidth="1"/>
    <col min="8" max="16384" width="8.77734375" style="22"/>
  </cols>
  <sheetData>
    <row r="1" spans="1:5" ht="66" customHeight="1" x14ac:dyDescent="0.25">
      <c r="A1" s="61" t="s">
        <v>73</v>
      </c>
      <c r="B1" s="62"/>
      <c r="C1" s="62"/>
      <c r="D1" s="62"/>
    </row>
    <row r="3" spans="1:5" ht="15.6" x14ac:dyDescent="0.3">
      <c r="B3" s="21" t="s">
        <v>63</v>
      </c>
      <c r="C3" s="21" t="s">
        <v>30</v>
      </c>
      <c r="D3" s="21" t="s">
        <v>57</v>
      </c>
      <c r="E3" s="20"/>
    </row>
    <row r="4" spans="1:5" ht="15.6" x14ac:dyDescent="0.3">
      <c r="A4" s="18" t="s">
        <v>0</v>
      </c>
      <c r="B4" s="21">
        <v>2024</v>
      </c>
      <c r="C4" s="21">
        <v>2024</v>
      </c>
      <c r="D4" s="21">
        <v>2025</v>
      </c>
      <c r="E4" s="23"/>
    </row>
    <row r="5" spans="1:5" x14ac:dyDescent="0.25">
      <c r="A5" s="22" t="s">
        <v>1</v>
      </c>
      <c r="B5" s="24">
        <v>138745</v>
      </c>
      <c r="C5" s="24">
        <v>150000</v>
      </c>
      <c r="D5" s="24">
        <f>D47</f>
        <v>139205</v>
      </c>
      <c r="E5" s="25"/>
    </row>
    <row r="6" spans="1:5" x14ac:dyDescent="0.25">
      <c r="A6" s="22" t="s">
        <v>70</v>
      </c>
      <c r="B6" s="24">
        <v>0</v>
      </c>
      <c r="C6" s="24">
        <v>5484.12</v>
      </c>
      <c r="D6" s="24">
        <f>D45</f>
        <v>29541.26666666667</v>
      </c>
      <c r="E6" s="25"/>
    </row>
    <row r="7" spans="1:5" ht="15.6" thickBot="1" x14ac:dyDescent="0.3">
      <c r="A7" s="22" t="s">
        <v>2</v>
      </c>
      <c r="B7" s="26">
        <v>1000</v>
      </c>
      <c r="C7" s="26">
        <v>350</v>
      </c>
      <c r="D7" s="26">
        <v>300</v>
      </c>
      <c r="E7" s="25"/>
    </row>
    <row r="8" spans="1:5" ht="16.2" thickTop="1" x14ac:dyDescent="0.3">
      <c r="A8" s="27" t="s">
        <v>64</v>
      </c>
      <c r="B8" s="28">
        <f>SUM(B5:B7)</f>
        <v>139745</v>
      </c>
      <c r="C8" s="53">
        <f>SUM(C5:C7)</f>
        <v>155834.12</v>
      </c>
      <c r="D8" s="28">
        <f>SUM(D5:D7)</f>
        <v>169046.26666666666</v>
      </c>
      <c r="E8" s="25"/>
    </row>
    <row r="9" spans="1:5" ht="15.6" x14ac:dyDescent="0.3">
      <c r="A9" s="18" t="s">
        <v>3</v>
      </c>
      <c r="B9" s="24"/>
      <c r="C9" s="24"/>
      <c r="D9" s="24"/>
      <c r="E9" s="25"/>
    </row>
    <row r="10" spans="1:5" ht="15.6" x14ac:dyDescent="0.3">
      <c r="A10" s="18" t="s">
        <v>4</v>
      </c>
      <c r="B10" s="24"/>
      <c r="C10" s="24"/>
      <c r="D10" s="24"/>
      <c r="E10" s="25"/>
    </row>
    <row r="11" spans="1:5" x14ac:dyDescent="0.25">
      <c r="A11" s="22" t="s">
        <v>31</v>
      </c>
      <c r="B11" s="24">
        <v>2000</v>
      </c>
      <c r="C11" s="24">
        <v>2000</v>
      </c>
      <c r="D11" s="24">
        <v>1000</v>
      </c>
      <c r="E11" s="25"/>
    </row>
    <row r="12" spans="1:5" x14ac:dyDescent="0.25">
      <c r="A12" s="22" t="s">
        <v>5</v>
      </c>
      <c r="B12" s="24">
        <v>425</v>
      </c>
      <c r="C12" s="24">
        <v>460</v>
      </c>
      <c r="D12" s="24">
        <v>500</v>
      </c>
      <c r="E12" s="25"/>
    </row>
    <row r="13" spans="1:5" x14ac:dyDescent="0.25">
      <c r="A13" s="22" t="s">
        <v>58</v>
      </c>
      <c r="B13" s="24">
        <v>500</v>
      </c>
      <c r="C13" s="24">
        <v>500</v>
      </c>
      <c r="D13" s="24">
        <v>500</v>
      </c>
      <c r="E13" s="25"/>
    </row>
    <row r="14" spans="1:5" x14ac:dyDescent="0.25">
      <c r="A14" s="22" t="s">
        <v>6</v>
      </c>
      <c r="B14" s="24">
        <v>300</v>
      </c>
      <c r="C14" s="24">
        <v>600</v>
      </c>
      <c r="D14" s="24">
        <v>600</v>
      </c>
      <c r="E14" s="25"/>
    </row>
    <row r="15" spans="1:5" x14ac:dyDescent="0.25">
      <c r="A15" s="22" t="s">
        <v>7</v>
      </c>
      <c r="B15" s="24">
        <v>100</v>
      </c>
      <c r="C15" s="24">
        <v>150</v>
      </c>
      <c r="D15" s="24">
        <v>150</v>
      </c>
      <c r="E15" s="25"/>
    </row>
    <row r="16" spans="1:5" x14ac:dyDescent="0.25">
      <c r="A16" s="22" t="s">
        <v>74</v>
      </c>
      <c r="B16" s="24">
        <v>0</v>
      </c>
      <c r="C16" s="24">
        <v>0</v>
      </c>
      <c r="D16" s="24">
        <v>300</v>
      </c>
      <c r="E16" s="25"/>
    </row>
    <row r="17" spans="1:7" x14ac:dyDescent="0.25">
      <c r="A17" s="22" t="s">
        <v>25</v>
      </c>
      <c r="B17" s="24">
        <v>350</v>
      </c>
      <c r="C17" s="24">
        <v>425</v>
      </c>
      <c r="D17" s="24">
        <v>425</v>
      </c>
      <c r="E17" s="25"/>
    </row>
    <row r="18" spans="1:7" ht="15.6" thickBot="1" x14ac:dyDescent="0.3">
      <c r="A18" s="22" t="s">
        <v>8</v>
      </c>
      <c r="B18" s="29">
        <v>150</v>
      </c>
      <c r="C18" s="29">
        <v>250</v>
      </c>
      <c r="D18" s="29">
        <v>250</v>
      </c>
      <c r="E18" s="25"/>
    </row>
    <row r="19" spans="1:7" ht="15.6" x14ac:dyDescent="0.3">
      <c r="A19" s="18" t="s">
        <v>9</v>
      </c>
      <c r="B19" s="30">
        <f>SUM(B11:B18)</f>
        <v>3825</v>
      </c>
      <c r="C19" s="30">
        <f>SUM(C11:C18)</f>
        <v>4385</v>
      </c>
      <c r="D19" s="30">
        <f>SUM(D11:D18)</f>
        <v>3725</v>
      </c>
      <c r="E19" s="25"/>
    </row>
    <row r="20" spans="1:7" x14ac:dyDescent="0.25">
      <c r="B20" s="24"/>
      <c r="C20" s="24"/>
      <c r="D20" s="24"/>
      <c r="E20" s="25"/>
    </row>
    <row r="21" spans="1:7" ht="15.6" x14ac:dyDescent="0.3">
      <c r="A21" s="18" t="s">
        <v>10</v>
      </c>
      <c r="B21" s="24"/>
      <c r="C21" s="24"/>
      <c r="D21" s="24"/>
      <c r="E21" s="25"/>
    </row>
    <row r="22" spans="1:7" x14ac:dyDescent="0.25">
      <c r="A22" s="22" t="s">
        <v>11</v>
      </c>
      <c r="B22" s="24">
        <v>1900</v>
      </c>
      <c r="C22" s="24">
        <v>3800</v>
      </c>
      <c r="D22" s="24">
        <v>0</v>
      </c>
      <c r="E22" s="25"/>
    </row>
    <row r="23" spans="1:7" x14ac:dyDescent="0.25">
      <c r="A23" s="22" t="s">
        <v>12</v>
      </c>
      <c r="B23" s="24">
        <v>0</v>
      </c>
      <c r="C23" s="24">
        <v>280</v>
      </c>
      <c r="D23" s="24">
        <v>280</v>
      </c>
      <c r="E23" s="25"/>
    </row>
    <row r="24" spans="1:7" x14ac:dyDescent="0.25">
      <c r="A24" s="22" t="s">
        <v>13</v>
      </c>
      <c r="B24" s="24">
        <v>2000</v>
      </c>
      <c r="C24" s="24">
        <v>4000</v>
      </c>
      <c r="D24" s="24">
        <v>4000</v>
      </c>
      <c r="E24" s="25"/>
    </row>
    <row r="25" spans="1:7" x14ac:dyDescent="0.25">
      <c r="A25" s="22" t="s">
        <v>14</v>
      </c>
      <c r="B25" s="24">
        <v>6100</v>
      </c>
      <c r="C25" s="24">
        <v>7000</v>
      </c>
      <c r="D25" s="24">
        <v>7000</v>
      </c>
      <c r="E25" s="25"/>
    </row>
    <row r="26" spans="1:7" x14ac:dyDescent="0.25">
      <c r="A26" s="22" t="s">
        <v>15</v>
      </c>
      <c r="B26" s="24">
        <v>5400</v>
      </c>
      <c r="C26" s="24">
        <f>450*12</f>
        <v>5400</v>
      </c>
      <c r="D26" s="24">
        <v>5400</v>
      </c>
      <c r="E26" s="25"/>
      <c r="G26" s="22">
        <f>475*12</f>
        <v>5700</v>
      </c>
    </row>
    <row r="27" spans="1:7" ht="15.6" thickBot="1" x14ac:dyDescent="0.3">
      <c r="A27" s="22" t="s">
        <v>16</v>
      </c>
      <c r="B27" s="29">
        <v>2000</v>
      </c>
      <c r="C27" s="29">
        <v>3200</v>
      </c>
      <c r="D27" s="29">
        <v>3200</v>
      </c>
      <c r="E27" s="25"/>
    </row>
    <row r="28" spans="1:7" ht="15.6" x14ac:dyDescent="0.3">
      <c r="A28" s="18" t="s">
        <v>17</v>
      </c>
      <c r="B28" s="30">
        <f>SUM(B22:B27)</f>
        <v>17400</v>
      </c>
      <c r="C28" s="30">
        <f>SUM(C22:C27)</f>
        <v>23680</v>
      </c>
      <c r="D28" s="30">
        <f>SUM(D22:D27)</f>
        <v>19880</v>
      </c>
      <c r="E28" s="25"/>
    </row>
    <row r="29" spans="1:7" x14ac:dyDescent="0.25">
      <c r="B29" s="24"/>
      <c r="C29" s="24"/>
      <c r="D29" s="24"/>
      <c r="E29" s="25"/>
    </row>
    <row r="30" spans="1:7" ht="15.6" x14ac:dyDescent="0.3">
      <c r="A30" s="18" t="s">
        <v>18</v>
      </c>
      <c r="B30" s="30">
        <v>56000</v>
      </c>
      <c r="C30" s="30">
        <v>64000</v>
      </c>
      <c r="D30" s="30">
        <v>68000</v>
      </c>
      <c r="E30" s="25">
        <f>55745</f>
        <v>55745</v>
      </c>
      <c r="F30" s="34">
        <f>D30-E30</f>
        <v>12255</v>
      </c>
    </row>
    <row r="31" spans="1:7" x14ac:dyDescent="0.25">
      <c r="B31" s="24"/>
      <c r="C31" s="24"/>
      <c r="D31" s="24"/>
      <c r="E31" s="25"/>
    </row>
    <row r="32" spans="1:7" ht="15.6" x14ac:dyDescent="0.3">
      <c r="A32" s="18" t="s">
        <v>19</v>
      </c>
      <c r="B32" s="24"/>
      <c r="C32" s="24"/>
      <c r="D32" s="24"/>
      <c r="E32" s="25"/>
      <c r="F32" s="34">
        <f>90000-56000</f>
        <v>34000</v>
      </c>
    </row>
    <row r="33" spans="1:13" x14ac:dyDescent="0.25">
      <c r="A33" s="22" t="s">
        <v>20</v>
      </c>
      <c r="B33" s="24">
        <v>6300</v>
      </c>
      <c r="C33" s="24">
        <f>525*12</f>
        <v>6300</v>
      </c>
      <c r="D33" s="24">
        <v>6300</v>
      </c>
      <c r="E33" s="25"/>
    </row>
    <row r="34" spans="1:13" x14ac:dyDescent="0.25">
      <c r="A34" s="22" t="s">
        <v>21</v>
      </c>
      <c r="B34" s="24">
        <v>12000</v>
      </c>
      <c r="C34" s="24">
        <v>12595.53</v>
      </c>
      <c r="D34" s="24">
        <f>1400*12</f>
        <v>16800</v>
      </c>
      <c r="E34" s="25"/>
    </row>
    <row r="35" spans="1:13" x14ac:dyDescent="0.25">
      <c r="A35" s="22" t="s">
        <v>22</v>
      </c>
      <c r="B35" s="24">
        <v>2600</v>
      </c>
      <c r="C35" s="24">
        <v>5500</v>
      </c>
      <c r="D35" s="24">
        <v>2600</v>
      </c>
      <c r="E35" s="25"/>
    </row>
    <row r="36" spans="1:13" x14ac:dyDescent="0.25">
      <c r="A36" s="22" t="s">
        <v>68</v>
      </c>
      <c r="B36" s="24">
        <v>2500</v>
      </c>
      <c r="C36" s="24">
        <v>5686</v>
      </c>
      <c r="D36" s="24">
        <v>3000</v>
      </c>
      <c r="E36" s="25"/>
    </row>
    <row r="37" spans="1:13" ht="15.6" thickBot="1" x14ac:dyDescent="0.3">
      <c r="A37" s="22" t="s">
        <v>23</v>
      </c>
      <c r="B37" s="29">
        <v>3000</v>
      </c>
      <c r="C37" s="29">
        <v>3000</v>
      </c>
      <c r="D37" s="29">
        <v>3200</v>
      </c>
      <c r="E37" s="25"/>
    </row>
    <row r="38" spans="1:13" ht="15.6" x14ac:dyDescent="0.3">
      <c r="A38" s="18" t="s">
        <v>24</v>
      </c>
      <c r="B38" s="30">
        <f>SUM(B33:B37)</f>
        <v>26400</v>
      </c>
      <c r="C38" s="30">
        <f>SUM(C33:C37)</f>
        <v>33081.53</v>
      </c>
      <c r="D38" s="30">
        <f>SUM(D33:D37)</f>
        <v>31900</v>
      </c>
      <c r="E38" s="25"/>
    </row>
    <row r="39" spans="1:13" x14ac:dyDescent="0.25">
      <c r="B39" s="24"/>
      <c r="C39" s="24"/>
      <c r="D39" s="24"/>
      <c r="E39" s="25"/>
    </row>
    <row r="40" spans="1:13" ht="15.6" x14ac:dyDescent="0.3">
      <c r="A40" s="18" t="s">
        <v>26</v>
      </c>
      <c r="B40" s="24"/>
      <c r="C40" s="24"/>
      <c r="D40" s="24"/>
      <c r="E40" s="25"/>
    </row>
    <row r="41" spans="1:13" x14ac:dyDescent="0.25">
      <c r="A41" s="22" t="s">
        <v>27</v>
      </c>
      <c r="B41" s="24">
        <v>1600</v>
      </c>
      <c r="C41" s="24">
        <v>1300</v>
      </c>
      <c r="D41" s="24">
        <v>1700</v>
      </c>
      <c r="E41" s="25"/>
    </row>
    <row r="42" spans="1:13" ht="15.6" thickBot="1" x14ac:dyDescent="0.3">
      <c r="A42" s="22" t="s">
        <v>28</v>
      </c>
      <c r="B42" s="29">
        <v>13600</v>
      </c>
      <c r="C42" s="29">
        <v>18000</v>
      </c>
      <c r="D42" s="29">
        <v>14000</v>
      </c>
      <c r="E42" s="25"/>
    </row>
    <row r="43" spans="1:13" ht="15.6" x14ac:dyDescent="0.3">
      <c r="A43" s="18" t="s">
        <v>29</v>
      </c>
      <c r="B43" s="30">
        <f>SUM(B41:B42)</f>
        <v>15200</v>
      </c>
      <c r="C43" s="30">
        <f>SUM(C41:C42)</f>
        <v>19300</v>
      </c>
      <c r="D43" s="30">
        <f>SUM(D41:D42)</f>
        <v>15700</v>
      </c>
      <c r="E43" s="25"/>
    </row>
    <row r="44" spans="1:13" x14ac:dyDescent="0.25">
      <c r="B44" s="24"/>
      <c r="C44" s="24"/>
      <c r="D44" s="24"/>
      <c r="E44" s="25"/>
      <c r="H44" s="22">
        <f>36000/12</f>
        <v>3000</v>
      </c>
    </row>
    <row r="45" spans="1:13" ht="15.6" x14ac:dyDescent="0.3">
      <c r="A45" s="18" t="s">
        <v>55</v>
      </c>
      <c r="B45" s="30" t="e">
        <f>SUM(#REF!)</f>
        <v>#REF!</v>
      </c>
      <c r="C45" s="30">
        <v>16452.3</v>
      </c>
      <c r="D45" s="30">
        <f>'reserves 2025'!H16</f>
        <v>29541.26666666667</v>
      </c>
      <c r="E45" s="25"/>
      <c r="H45" s="22">
        <f>2700/8</f>
        <v>337.5</v>
      </c>
    </row>
    <row r="46" spans="1:13" ht="16.2" thickBot="1" x14ac:dyDescent="0.35">
      <c r="A46" s="18" t="s">
        <v>56</v>
      </c>
      <c r="B46" s="31"/>
      <c r="C46" s="29">
        <v>0</v>
      </c>
      <c r="D46" s="31"/>
      <c r="E46" s="25"/>
      <c r="G46" s="30"/>
    </row>
    <row r="47" spans="1:13" ht="15.6" x14ac:dyDescent="0.3">
      <c r="A47" s="18" t="s">
        <v>59</v>
      </c>
      <c r="B47" s="28">
        <f>B43+B38+B30+B28+B19</f>
        <v>118825</v>
      </c>
      <c r="C47" s="28">
        <f>SUM(C43+C38+C30+C28+C19)</f>
        <v>144446.53</v>
      </c>
      <c r="D47" s="28">
        <f>D43+D38+D30+D28+D19</f>
        <v>139205</v>
      </c>
      <c r="E47" s="32"/>
      <c r="M47" s="22">
        <f>150000/108/26</f>
        <v>53.418803418803421</v>
      </c>
    </row>
    <row r="48" spans="1:13" x14ac:dyDescent="0.25">
      <c r="B48" s="33">
        <v>20400</v>
      </c>
    </row>
    <row r="49" spans="1:10" ht="33.75" customHeight="1" x14ac:dyDescent="0.3">
      <c r="A49" s="40" t="s">
        <v>69</v>
      </c>
      <c r="B49" s="40"/>
      <c r="C49" s="41" t="s">
        <v>65</v>
      </c>
      <c r="J49" s="22">
        <f>1400/26</f>
        <v>53.846153846153847</v>
      </c>
    </row>
    <row r="50" spans="1:10" ht="33.75" customHeight="1" x14ac:dyDescent="0.3">
      <c r="A50" s="42" t="s">
        <v>60</v>
      </c>
      <c r="B50" s="35">
        <v>3.49E-2</v>
      </c>
      <c r="C50" s="50">
        <f>SUM(D47*0.0349)/12</f>
        <v>404.85454166666665</v>
      </c>
      <c r="D50" s="54">
        <f>C50*4*12</f>
        <v>19433.018</v>
      </c>
      <c r="E50" s="34"/>
      <c r="H50" s="34"/>
    </row>
    <row r="51" spans="1:10" ht="68.55" customHeight="1" x14ac:dyDescent="0.3">
      <c r="A51" s="43" t="s">
        <v>61</v>
      </c>
      <c r="B51" s="35">
        <v>3.8600000000000002E-2</v>
      </c>
      <c r="C51" s="50">
        <f>SUM(D47*0.0386)/12</f>
        <v>447.77608333333336</v>
      </c>
      <c r="D51" s="54">
        <f>18*C51*12</f>
        <v>96719.634000000005</v>
      </c>
      <c r="E51" s="34"/>
    </row>
    <row r="52" spans="1:10" ht="33.75" customHeight="1" x14ac:dyDescent="0.3">
      <c r="A52" s="42" t="s">
        <v>62</v>
      </c>
      <c r="B52" s="35">
        <v>4.1399999999999999E-2</v>
      </c>
      <c r="C52" s="50">
        <f>SUM(D47*0.0414)/12</f>
        <v>480.25724999999994</v>
      </c>
      <c r="D52" s="54">
        <f>C52*4*12</f>
        <v>23052.347999999998</v>
      </c>
      <c r="E52" s="34"/>
    </row>
    <row r="53" spans="1:10" ht="15.6" x14ac:dyDescent="0.3">
      <c r="D53" s="30">
        <f>D50+D51+D52</f>
        <v>139205</v>
      </c>
      <c r="E53" s="34"/>
    </row>
  </sheetData>
  <mergeCells count="1">
    <mergeCell ref="A1:D1"/>
  </mergeCells>
  <pageMargins left="0.25" right="0.28999999999999998" top="0.91" bottom="1" header="0.4" footer="0.5"/>
  <pageSetup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7B71-5C62-467E-B42A-80F6E00092E8}">
  <sheetPr>
    <tabColor rgb="FFFFFF00"/>
  </sheetPr>
  <dimension ref="A1:O28"/>
  <sheetViews>
    <sheetView zoomScaleNormal="100" workbookViewId="0">
      <selection activeCell="E17" sqref="E17"/>
    </sheetView>
  </sheetViews>
  <sheetFormatPr defaultColWidth="8.77734375" defaultRowHeight="13.2" x14ac:dyDescent="0.25"/>
  <cols>
    <col min="1" max="1" width="36.44140625" customWidth="1"/>
    <col min="2" max="2" width="13.77734375" customWidth="1"/>
    <col min="3" max="3" width="24.44140625" customWidth="1"/>
    <col min="4" max="4" width="19.21875" customWidth="1"/>
    <col min="5" max="5" width="23.44140625" customWidth="1"/>
    <col min="6" max="6" width="17" customWidth="1"/>
    <col min="7" max="8" width="19.77734375" customWidth="1"/>
    <col min="9" max="10" width="20.21875" customWidth="1"/>
    <col min="11" max="11" width="20.21875" style="1" customWidth="1"/>
    <col min="15" max="15" width="10.44140625" customWidth="1"/>
  </cols>
  <sheetData>
    <row r="1" spans="1:11" ht="13.8" thickBot="1" x14ac:dyDescent="0.3"/>
    <row r="2" spans="1:11" ht="38.25" customHeight="1" x14ac:dyDescent="0.3">
      <c r="A2" s="63" t="s">
        <v>77</v>
      </c>
      <c r="B2" s="64"/>
      <c r="C2" s="64"/>
      <c r="D2" s="64"/>
      <c r="E2" s="64"/>
      <c r="F2" s="64"/>
      <c r="G2" s="64"/>
      <c r="H2" s="65"/>
      <c r="I2" s="18"/>
      <c r="J2" s="18"/>
      <c r="K2"/>
    </row>
    <row r="3" spans="1:11" x14ac:dyDescent="0.25">
      <c r="A3" s="3" t="s">
        <v>33</v>
      </c>
      <c r="B3" s="4" t="s">
        <v>34</v>
      </c>
      <c r="C3" s="4" t="s">
        <v>34</v>
      </c>
      <c r="D3" s="5" t="s">
        <v>35</v>
      </c>
      <c r="E3" s="4" t="s">
        <v>36</v>
      </c>
      <c r="F3" s="4" t="s">
        <v>37</v>
      </c>
      <c r="G3" s="36">
        <v>1</v>
      </c>
      <c r="H3" s="17">
        <v>0.4</v>
      </c>
      <c r="J3">
        <v>40</v>
      </c>
      <c r="K3">
        <v>30</v>
      </c>
    </row>
    <row r="4" spans="1:11" x14ac:dyDescent="0.25">
      <c r="A4" s="3"/>
      <c r="B4" s="4" t="s">
        <v>38</v>
      </c>
      <c r="C4" s="4" t="s">
        <v>39</v>
      </c>
      <c r="D4" s="5" t="s">
        <v>40</v>
      </c>
      <c r="E4" s="4" t="s">
        <v>72</v>
      </c>
      <c r="F4" s="4" t="s">
        <v>41</v>
      </c>
      <c r="G4" s="4" t="s">
        <v>71</v>
      </c>
      <c r="H4" s="6" t="s">
        <v>71</v>
      </c>
      <c r="K4"/>
    </row>
    <row r="5" spans="1:11" x14ac:dyDescent="0.25">
      <c r="A5" s="3"/>
      <c r="B5" s="4"/>
      <c r="C5" s="4"/>
      <c r="D5" s="5"/>
      <c r="E5" s="4"/>
      <c r="F5" s="4"/>
      <c r="G5" s="4"/>
      <c r="H5" s="6"/>
      <c r="K5"/>
    </row>
    <row r="6" spans="1:11" x14ac:dyDescent="0.25">
      <c r="A6" s="3" t="s">
        <v>47</v>
      </c>
      <c r="B6" s="4">
        <v>1</v>
      </c>
      <c r="C6" s="8">
        <v>10000</v>
      </c>
      <c r="D6" s="4">
        <v>0</v>
      </c>
      <c r="E6" s="14">
        <f>E16*D6</f>
        <v>0</v>
      </c>
      <c r="F6" s="7">
        <v>1</v>
      </c>
      <c r="G6" s="8">
        <f>(C6-E6)/F6</f>
        <v>10000</v>
      </c>
      <c r="H6" s="52">
        <f>SUM(G6*0.4)</f>
        <v>4000</v>
      </c>
      <c r="I6" s="13"/>
      <c r="J6" s="13">
        <f t="shared" ref="J6:J15" si="0">G6*0.4</f>
        <v>4000</v>
      </c>
      <c r="K6" s="13">
        <f t="shared" ref="K6:K15" si="1">G6*0.3</f>
        <v>3000</v>
      </c>
    </row>
    <row r="7" spans="1:11" x14ac:dyDescent="0.25">
      <c r="A7" s="3" t="s">
        <v>48</v>
      </c>
      <c r="B7" s="4">
        <v>10</v>
      </c>
      <c r="C7" s="8">
        <v>10000</v>
      </c>
      <c r="D7" s="4">
        <v>0.03</v>
      </c>
      <c r="E7" s="14">
        <f>E16*D7</f>
        <v>2400</v>
      </c>
      <c r="F7" s="7">
        <v>6</v>
      </c>
      <c r="G7" s="8">
        <f t="shared" ref="G7:G14" si="2">(C7-E7)/F7</f>
        <v>1266.6666666666667</v>
      </c>
      <c r="H7" s="52">
        <v>562.66666666666674</v>
      </c>
      <c r="I7" s="13"/>
      <c r="J7" s="13">
        <f t="shared" si="0"/>
        <v>506.66666666666674</v>
      </c>
      <c r="K7" s="13">
        <f t="shared" si="1"/>
        <v>380</v>
      </c>
    </row>
    <row r="8" spans="1:11" x14ac:dyDescent="0.25">
      <c r="A8" s="3" t="s">
        <v>42</v>
      </c>
      <c r="B8" s="4">
        <v>6</v>
      </c>
      <c r="C8" s="8">
        <v>28000</v>
      </c>
      <c r="D8" s="4">
        <v>0.22</v>
      </c>
      <c r="E8" s="14">
        <f>E16*D8</f>
        <v>17600</v>
      </c>
      <c r="F8" s="7">
        <v>6</v>
      </c>
      <c r="G8" s="8">
        <f t="shared" si="2"/>
        <v>1733.3333333333333</v>
      </c>
      <c r="H8" s="52">
        <v>1104</v>
      </c>
      <c r="I8" s="13"/>
      <c r="J8" s="13">
        <f t="shared" si="0"/>
        <v>693.33333333333337</v>
      </c>
      <c r="K8" s="13">
        <f t="shared" si="1"/>
        <v>520</v>
      </c>
    </row>
    <row r="9" spans="1:11" x14ac:dyDescent="0.25">
      <c r="A9" s="3" t="s">
        <v>49</v>
      </c>
      <c r="B9" s="4">
        <v>1</v>
      </c>
      <c r="C9" s="8">
        <v>1855</v>
      </c>
      <c r="D9" s="4">
        <v>0.01</v>
      </c>
      <c r="E9" s="14">
        <f>E16*D9</f>
        <v>800</v>
      </c>
      <c r="F9" s="7">
        <v>2</v>
      </c>
      <c r="G9" s="8">
        <f t="shared" si="2"/>
        <v>527.5</v>
      </c>
      <c r="H9" s="52">
        <v>267</v>
      </c>
      <c r="I9" s="13"/>
      <c r="J9" s="13">
        <f t="shared" si="0"/>
        <v>211</v>
      </c>
      <c r="K9" s="13">
        <f t="shared" si="1"/>
        <v>158.25</v>
      </c>
    </row>
    <row r="10" spans="1:11" x14ac:dyDescent="0.25">
      <c r="A10" s="3" t="s">
        <v>67</v>
      </c>
      <c r="B10" s="4">
        <v>39</v>
      </c>
      <c r="C10" s="8">
        <v>60000</v>
      </c>
      <c r="D10" s="4">
        <v>0.05</v>
      </c>
      <c r="E10" s="14">
        <f>E16*D10</f>
        <v>4000</v>
      </c>
      <c r="F10" s="7">
        <v>40</v>
      </c>
      <c r="G10" s="8">
        <f t="shared" si="2"/>
        <v>1400</v>
      </c>
      <c r="H10" s="52">
        <v>574</v>
      </c>
      <c r="I10" s="13"/>
      <c r="J10" s="13">
        <f t="shared" si="0"/>
        <v>560</v>
      </c>
      <c r="K10" s="13">
        <f t="shared" si="1"/>
        <v>420</v>
      </c>
    </row>
    <row r="11" spans="1:11" x14ac:dyDescent="0.25">
      <c r="A11" s="3" t="s">
        <v>50</v>
      </c>
      <c r="B11" s="4">
        <v>3</v>
      </c>
      <c r="C11" s="8">
        <v>7000</v>
      </c>
      <c r="D11" s="4">
        <v>0.12</v>
      </c>
      <c r="E11" s="14">
        <f>E16*D11</f>
        <v>9600</v>
      </c>
      <c r="F11" s="7">
        <v>4</v>
      </c>
      <c r="G11" s="8">
        <f t="shared" si="2"/>
        <v>-650</v>
      </c>
      <c r="H11" s="52">
        <v>76</v>
      </c>
      <c r="I11" s="13"/>
      <c r="J11" s="13">
        <f t="shared" si="0"/>
        <v>-260</v>
      </c>
      <c r="K11" s="13">
        <f t="shared" si="1"/>
        <v>-195</v>
      </c>
    </row>
    <row r="12" spans="1:11" x14ac:dyDescent="0.25">
      <c r="A12" s="3" t="s">
        <v>51</v>
      </c>
      <c r="B12" s="4">
        <v>0</v>
      </c>
      <c r="C12" s="8">
        <v>3060</v>
      </c>
      <c r="D12" s="4">
        <v>0</v>
      </c>
      <c r="E12" s="14">
        <f>SUM(E16*D12)</f>
        <v>0</v>
      </c>
      <c r="F12" s="7">
        <v>1</v>
      </c>
      <c r="G12" s="8">
        <f t="shared" si="2"/>
        <v>3060</v>
      </c>
      <c r="H12" s="52">
        <v>1016</v>
      </c>
      <c r="I12" s="13"/>
      <c r="J12" s="13">
        <f t="shared" si="0"/>
        <v>1224</v>
      </c>
      <c r="K12" s="13">
        <f t="shared" si="1"/>
        <v>918</v>
      </c>
    </row>
    <row r="13" spans="1:11" x14ac:dyDescent="0.25">
      <c r="A13" s="3" t="s">
        <v>52</v>
      </c>
      <c r="B13" s="4">
        <v>3</v>
      </c>
      <c r="C13" s="8">
        <v>48000</v>
      </c>
      <c r="D13" s="4">
        <v>0.05</v>
      </c>
      <c r="E13" s="14">
        <f>E16*D13</f>
        <v>4000</v>
      </c>
      <c r="F13" s="7">
        <v>2</v>
      </c>
      <c r="G13" s="8">
        <f t="shared" si="2"/>
        <v>22000</v>
      </c>
      <c r="H13" s="52">
        <v>9080</v>
      </c>
      <c r="I13" s="13"/>
      <c r="J13" s="13">
        <f t="shared" si="0"/>
        <v>8800</v>
      </c>
      <c r="K13" s="13">
        <f t="shared" si="1"/>
        <v>6600</v>
      </c>
    </row>
    <row r="14" spans="1:11" x14ac:dyDescent="0.25">
      <c r="A14" s="3" t="s">
        <v>43</v>
      </c>
      <c r="B14" s="4">
        <v>19</v>
      </c>
      <c r="C14" s="8">
        <v>315000</v>
      </c>
      <c r="D14" s="4">
        <v>0.46</v>
      </c>
      <c r="E14" s="14">
        <f>E16*D14</f>
        <v>36800</v>
      </c>
      <c r="F14" s="7">
        <v>20</v>
      </c>
      <c r="G14" s="8">
        <f t="shared" si="2"/>
        <v>13910</v>
      </c>
      <c r="H14" s="52">
        <v>5821.6</v>
      </c>
      <c r="I14" s="13"/>
      <c r="J14" s="13">
        <f t="shared" si="0"/>
        <v>5564</v>
      </c>
      <c r="K14" s="13">
        <f t="shared" si="1"/>
        <v>4173</v>
      </c>
    </row>
    <row r="15" spans="1:11" x14ac:dyDescent="0.25">
      <c r="A15" s="3" t="s">
        <v>53</v>
      </c>
      <c r="B15" s="4">
        <v>3</v>
      </c>
      <c r="C15" s="8">
        <v>40000</v>
      </c>
      <c r="D15" s="4">
        <v>0.06</v>
      </c>
      <c r="E15" s="14">
        <f>E16*D15</f>
        <v>4800</v>
      </c>
      <c r="F15" s="7">
        <v>2</v>
      </c>
      <c r="G15" s="8">
        <f>(C15-E15)/F15</f>
        <v>17600</v>
      </c>
      <c r="H15" s="52">
        <f>G15*0.4</f>
        <v>7040</v>
      </c>
      <c r="I15" s="13"/>
      <c r="J15" s="13">
        <f t="shared" si="0"/>
        <v>7040</v>
      </c>
      <c r="K15" s="13">
        <f t="shared" si="1"/>
        <v>5280</v>
      </c>
    </row>
    <row r="16" spans="1:11" ht="13.8" thickBot="1" x14ac:dyDescent="0.3">
      <c r="A16" s="9" t="s">
        <v>44</v>
      </c>
      <c r="B16" s="10"/>
      <c r="C16" s="11">
        <f>SUM(C6:C15)</f>
        <v>522915</v>
      </c>
      <c r="D16" s="12">
        <f>SUM(D6:D15)</f>
        <v>1</v>
      </c>
      <c r="E16" s="11">
        <v>80000</v>
      </c>
      <c r="F16" s="11"/>
      <c r="G16" s="11">
        <f>SUM(G6:G15)</f>
        <v>70847.5</v>
      </c>
      <c r="H16" s="16">
        <f>SUM(H6:H15)</f>
        <v>29541.26666666667</v>
      </c>
      <c r="I16" s="13"/>
      <c r="J16" s="13">
        <f>SUM(J6:J15)</f>
        <v>28339</v>
      </c>
      <c r="K16" s="13">
        <f>SUM(K6:K15)</f>
        <v>21254.25</v>
      </c>
    </row>
    <row r="17" spans="1:15" x14ac:dyDescent="0.25">
      <c r="I17" s="13"/>
    </row>
    <row r="18" spans="1:15" x14ac:dyDescent="0.25">
      <c r="G18" s="13"/>
      <c r="H18" s="13"/>
      <c r="I18" s="13"/>
      <c r="J18" s="13"/>
    </row>
    <row r="19" spans="1:15" ht="24.75" customHeight="1" x14ac:dyDescent="0.25">
      <c r="A19" s="66" t="s">
        <v>1</v>
      </c>
      <c r="B19" s="66"/>
      <c r="C19" s="66"/>
      <c r="D19" s="66"/>
      <c r="E19" s="66"/>
      <c r="F19" s="66"/>
      <c r="G19" s="66"/>
      <c r="H19" s="1"/>
      <c r="I19" s="13"/>
      <c r="J19" s="13"/>
      <c r="K19" s="2"/>
    </row>
    <row r="20" spans="1:15" ht="100.5" customHeight="1" x14ac:dyDescent="0.25">
      <c r="A20" s="48" t="s">
        <v>45</v>
      </c>
      <c r="B20" s="48" t="s">
        <v>46</v>
      </c>
      <c r="C20" s="45" t="s">
        <v>65</v>
      </c>
      <c r="D20" s="49" t="s">
        <v>66</v>
      </c>
      <c r="E20" s="49" t="s">
        <v>54</v>
      </c>
      <c r="F20" s="49" t="s">
        <v>76</v>
      </c>
      <c r="G20" s="49" t="s">
        <v>75</v>
      </c>
      <c r="H20" s="56"/>
      <c r="I20" s="55"/>
      <c r="J20" s="15">
        <v>0.3</v>
      </c>
      <c r="K20"/>
    </row>
    <row r="21" spans="1:15" ht="18.75" customHeight="1" x14ac:dyDescent="0.3">
      <c r="A21" s="37" t="s">
        <v>60</v>
      </c>
      <c r="B21" s="38">
        <v>3.49E-2</v>
      </c>
      <c r="C21" s="46">
        <f>'budget 2025'!C50</f>
        <v>404.85454166666665</v>
      </c>
      <c r="D21" s="39">
        <f>G16*B21/12</f>
        <v>206.04814583333334</v>
      </c>
      <c r="E21" s="46">
        <f>SUM(C21+D21)</f>
        <v>610.90268749999996</v>
      </c>
      <c r="F21" s="46">
        <f>D21*0.4</f>
        <v>82.419258333333346</v>
      </c>
      <c r="G21" s="19">
        <f>C21+F21</f>
        <v>487.27379999999999</v>
      </c>
      <c r="H21" s="51"/>
      <c r="I21" s="51"/>
      <c r="J21" s="13">
        <f>D21*0.3</f>
        <v>61.814443749999995</v>
      </c>
      <c r="K21"/>
    </row>
    <row r="22" spans="1:15" ht="45" x14ac:dyDescent="0.3">
      <c r="A22" s="37" t="s">
        <v>61</v>
      </c>
      <c r="B22" s="38">
        <v>3.8600000000000002E-2</v>
      </c>
      <c r="C22" s="46">
        <f>'budget 2025'!C51</f>
        <v>447.77608333333336</v>
      </c>
      <c r="D22" s="39">
        <f>G16*B22/12</f>
        <v>227.89279166666668</v>
      </c>
      <c r="E22" s="46">
        <f>SUM(C22+D22)</f>
        <v>675.66887500000007</v>
      </c>
      <c r="F22" s="46">
        <f>D22*0.4</f>
        <v>91.157116666666681</v>
      </c>
      <c r="G22" s="19">
        <f>SUM(F22+C22)</f>
        <v>538.93320000000006</v>
      </c>
      <c r="H22" s="51"/>
      <c r="I22" s="51"/>
      <c r="J22" s="13">
        <f>D22*0.3</f>
        <v>68.367837500000007</v>
      </c>
      <c r="K22"/>
    </row>
    <row r="23" spans="1:15" ht="28.5" customHeight="1" x14ac:dyDescent="0.3">
      <c r="A23" s="37" t="s">
        <v>62</v>
      </c>
      <c r="B23" s="38">
        <v>4.1399999999999999E-2</v>
      </c>
      <c r="C23" s="46">
        <f>'budget 2025'!C52</f>
        <v>480.25724999999994</v>
      </c>
      <c r="D23" s="39">
        <f>G16*B23/12</f>
        <v>244.42387499999998</v>
      </c>
      <c r="E23" s="46">
        <f>SUM(C23+D23)</f>
        <v>724.68112499999995</v>
      </c>
      <c r="F23" s="46">
        <f>D23*0.4</f>
        <v>97.769549999999995</v>
      </c>
      <c r="G23" s="19">
        <f>F23+C23</f>
        <v>578.02679999999998</v>
      </c>
      <c r="H23" s="51"/>
      <c r="I23" s="51"/>
      <c r="J23" s="13">
        <f>D23*0.3</f>
        <v>73.327162499999986</v>
      </c>
      <c r="K23"/>
    </row>
    <row r="24" spans="1:15" x14ac:dyDescent="0.25">
      <c r="G24" s="13"/>
      <c r="H24" s="13"/>
    </row>
    <row r="26" spans="1:15" ht="12.75" customHeight="1" x14ac:dyDescent="0.25">
      <c r="A26" s="60" t="s">
        <v>32</v>
      </c>
      <c r="B26" s="60"/>
      <c r="C26" s="60"/>
      <c r="D26" s="60"/>
      <c r="E26" s="60"/>
      <c r="F26" s="60"/>
      <c r="G26" s="60"/>
      <c r="H26" s="60"/>
      <c r="I26" s="60"/>
      <c r="J26" s="47"/>
    </row>
    <row r="27" spans="1:15" ht="45.75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47"/>
      <c r="O27" s="13"/>
    </row>
    <row r="28" spans="1:15" x14ac:dyDescent="0.25">
      <c r="O28" s="13"/>
    </row>
  </sheetData>
  <mergeCells count="3">
    <mergeCell ref="A2:H2"/>
    <mergeCell ref="A19:G19"/>
    <mergeCell ref="A26:I27"/>
  </mergeCells>
  <pageMargins left="0.75" right="0.2" top="1" bottom="1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EA55-D427-4B59-98BE-CF04E1B37739}">
  <dimension ref="A1:I5"/>
  <sheetViews>
    <sheetView workbookViewId="0">
      <selection activeCell="G5" sqref="G5"/>
    </sheetView>
  </sheetViews>
  <sheetFormatPr defaultRowHeight="13.2" x14ac:dyDescent="0.25"/>
  <cols>
    <col min="1" max="1" width="23.77734375" customWidth="1"/>
    <col min="3" max="3" width="24.77734375" style="2" customWidth="1"/>
    <col min="4" max="4" width="18" bestFit="1" customWidth="1"/>
    <col min="5" max="5" width="18.21875" bestFit="1" customWidth="1"/>
    <col min="6" max="6" width="10.44140625" bestFit="1" customWidth="1"/>
    <col min="7" max="7" width="16.21875" bestFit="1" customWidth="1"/>
  </cols>
  <sheetData>
    <row r="1" spans="1:9" ht="15.6" customHeight="1" x14ac:dyDescent="0.25">
      <c r="A1" s="68" t="s">
        <v>45</v>
      </c>
      <c r="B1" s="67" t="s">
        <v>78</v>
      </c>
      <c r="C1" s="57">
        <v>370000</v>
      </c>
      <c r="D1" s="58" t="s">
        <v>79</v>
      </c>
      <c r="E1" s="58" t="s">
        <v>79</v>
      </c>
      <c r="F1" s="58" t="s">
        <v>81</v>
      </c>
      <c r="G1" s="58" t="s">
        <v>81</v>
      </c>
    </row>
    <row r="2" spans="1:9" ht="15.6" customHeight="1" x14ac:dyDescent="0.25">
      <c r="A2" s="69"/>
      <c r="B2" s="67"/>
      <c r="C2" s="57" t="s">
        <v>82</v>
      </c>
      <c r="D2" s="58" t="s">
        <v>80</v>
      </c>
      <c r="E2" s="58" t="s">
        <v>83</v>
      </c>
      <c r="F2" s="58" t="s">
        <v>80</v>
      </c>
      <c r="G2" s="58" t="s">
        <v>84</v>
      </c>
      <c r="I2">
        <v>40000</v>
      </c>
    </row>
    <row r="3" spans="1:9" ht="31.5" customHeight="1" x14ac:dyDescent="0.25">
      <c r="A3" s="45" t="s">
        <v>60</v>
      </c>
      <c r="B3" s="59">
        <v>3.49E-2</v>
      </c>
      <c r="C3" s="44">
        <f>C1*B3*1.025</f>
        <v>13235.824999999999</v>
      </c>
      <c r="D3" s="44">
        <f>C3+5374.03</f>
        <v>18609.855</v>
      </c>
      <c r="E3" s="44">
        <f>D3/108</f>
        <v>172.31347222222223</v>
      </c>
      <c r="F3" s="44">
        <f>C3+1695.63</f>
        <v>14931.454999999998</v>
      </c>
      <c r="G3" s="44">
        <f>F3/3</f>
        <v>4977.1516666666657</v>
      </c>
      <c r="I3">
        <f>I2*B3/60</f>
        <v>23.266666666666666</v>
      </c>
    </row>
    <row r="4" spans="1:9" ht="128.55000000000001" customHeight="1" x14ac:dyDescent="0.25">
      <c r="A4" s="45" t="s">
        <v>61</v>
      </c>
      <c r="B4" s="59">
        <v>3.8600000000000002E-2</v>
      </c>
      <c r="C4" s="44">
        <f>C1*B4*1.025</f>
        <v>14639.05</v>
      </c>
      <c r="D4" s="44">
        <f>C4+5943.76</f>
        <v>20582.809999999998</v>
      </c>
      <c r="E4" s="44">
        <f>D4/108</f>
        <v>190.58157407407404</v>
      </c>
      <c r="F4" s="44">
        <f>C4+1875.4</f>
        <v>16514.45</v>
      </c>
      <c r="G4" s="44">
        <f>F4/3</f>
        <v>5504.8166666666666</v>
      </c>
      <c r="I4">
        <f>I2*B4/60</f>
        <v>25.733333333333334</v>
      </c>
    </row>
    <row r="5" spans="1:9" ht="44.1" customHeight="1" x14ac:dyDescent="0.25">
      <c r="A5" s="45" t="s">
        <v>62</v>
      </c>
      <c r="B5" s="59">
        <v>4.1399999999999999E-2</v>
      </c>
      <c r="C5" s="44">
        <f>C1*B5*1.025</f>
        <v>15700.949999999999</v>
      </c>
      <c r="D5" s="44">
        <f>C5+6374.92</f>
        <v>22075.87</v>
      </c>
      <c r="E5" s="44">
        <f>D5/108</f>
        <v>204.40620370370368</v>
      </c>
      <c r="F5" s="44">
        <f>C5+2011.44</f>
        <v>17712.39</v>
      </c>
      <c r="G5" s="44">
        <f>F5/3</f>
        <v>5904.13</v>
      </c>
      <c r="I5">
        <f>I2*B5/60</f>
        <v>27.6</v>
      </c>
    </row>
  </sheetData>
  <mergeCells count="2"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budget 2025</vt:lpstr>
      <vt:lpstr>reserves 2025</vt:lpstr>
      <vt:lpstr>assessment 2025</vt:lpstr>
      <vt:lpstr>'budget 2025'!Print_Area</vt:lpstr>
      <vt:lpstr>'reserves 2025'!Print_Area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2024-10-17T18:43:35Z</cp:lastPrinted>
  <dcterms:created xsi:type="dcterms:W3CDTF">2009-08-18T18:49:28Z</dcterms:created>
  <dcterms:modified xsi:type="dcterms:W3CDTF">2025-03-02T19:34:56Z</dcterms:modified>
</cp:coreProperties>
</file>