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35F9353D-BB10-4B49-96CA-ED7941A24F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dget 2025" sheetId="26" r:id="rId1"/>
    <sheet name="reserves 2025)" sheetId="27" r:id="rId2"/>
    <sheet name="Sheet2" sheetId="2" state="hidden" r:id="rId3"/>
    <sheet name="Sheet3" sheetId="3" state="hidden" r:id="rId4"/>
  </sheets>
  <definedNames>
    <definedName name="_xlnm.Print_Area" localSheetId="0">'budget 2025'!$A$1:$I$50</definedName>
    <definedName name="_xlnm.Print_Area" localSheetId="1">'reserves 2025)'!$A$1:$I$17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6" i="26" l="1"/>
  <c r="K9" i="27"/>
  <c r="G14" i="27"/>
  <c r="J9" i="27"/>
  <c r="H8" i="27"/>
  <c r="N9" i="27" s="1"/>
  <c r="E11" i="27"/>
  <c r="G9" i="26"/>
  <c r="C11" i="27"/>
  <c r="L3" i="27"/>
  <c r="M3" i="27"/>
  <c r="P22" i="26"/>
  <c r="J15" i="27"/>
  <c r="G40" i="26"/>
  <c r="G44" i="26" s="1"/>
  <c r="G47" i="26" s="1"/>
  <c r="J23" i="27"/>
  <c r="G22" i="27"/>
  <c r="G21" i="27"/>
  <c r="M18" i="27"/>
  <c r="N11" i="27"/>
  <c r="D11" i="27"/>
  <c r="H46" i="26"/>
  <c r="H44" i="26"/>
  <c r="I44" i="26"/>
  <c r="H11" i="26"/>
  <c r="I8" i="27" l="1"/>
  <c r="J8" i="27"/>
  <c r="H47" i="26"/>
  <c r="G11" i="26" l="1"/>
  <c r="G6" i="27" l="1"/>
  <c r="H6" i="27" s="1"/>
  <c r="E10" i="27"/>
  <c r="G10" i="27" s="1"/>
  <c r="H10" i="27" s="1"/>
  <c r="E7" i="27"/>
  <c r="G7" i="27"/>
  <c r="H7" i="27" s="1"/>
  <c r="J7" i="27" s="1"/>
  <c r="E9" i="27"/>
  <c r="G9" i="27" s="1"/>
  <c r="G11" i="27"/>
  <c r="E8" i="27"/>
  <c r="G8" i="27" s="1"/>
  <c r="E6" i="27"/>
  <c r="J10" i="27" l="1"/>
  <c r="I10" i="27"/>
  <c r="H9" i="27"/>
  <c r="I9" i="27" s="1"/>
  <c r="I6" i="27"/>
  <c r="J6" i="27"/>
  <c r="J12" i="27" s="1"/>
  <c r="I7" i="27"/>
  <c r="K7" i="27"/>
  <c r="I11" i="27" l="1"/>
  <c r="H11" i="27"/>
  <c r="D14" i="27" l="1"/>
  <c r="L11" i="27"/>
  <c r="K11" i="27"/>
  <c r="M11" i="27"/>
  <c r="J11" i="27"/>
  <c r="J16" i="27"/>
  <c r="I9" i="26" l="1"/>
  <c r="I47" i="26"/>
  <c r="K14" i="27"/>
  <c r="K16" i="27"/>
  <c r="M12" i="27"/>
  <c r="N16" i="27"/>
  <c r="N14" i="27"/>
  <c r="L16" i="27"/>
  <c r="L14" i="27"/>
  <c r="K12" i="27"/>
  <c r="M14" i="27"/>
  <c r="L12" i="27"/>
  <c r="M16" i="27"/>
  <c r="K10" i="26" l="1"/>
  <c r="I10" i="26" s="1"/>
  <c r="K47" i="26" s="1"/>
  <c r="C14" i="27" s="1"/>
  <c r="K15" i="27" s="1"/>
  <c r="I11" i="26" l="1"/>
  <c r="N15" i="27"/>
  <c r="M15" i="27"/>
  <c r="H14" i="27"/>
  <c r="E14" i="27"/>
  <c r="L15" i="27"/>
</calcChain>
</file>

<file path=xl/sharedStrings.xml><?xml version="1.0" encoding="utf-8"?>
<sst xmlns="http://schemas.openxmlformats.org/spreadsheetml/2006/main" count="85" uniqueCount="80">
  <si>
    <t>Income</t>
  </si>
  <si>
    <t>Interest Income</t>
  </si>
  <si>
    <t>Late Fee Income</t>
  </si>
  <si>
    <t>Maintenance Income</t>
  </si>
  <si>
    <t>Total Income</t>
  </si>
  <si>
    <t>Expense</t>
  </si>
  <si>
    <t>Office Supplies</t>
  </si>
  <si>
    <t>Total Expense</t>
  </si>
  <si>
    <t>BUDGET</t>
  </si>
  <si>
    <t>Dock Fees</t>
  </si>
  <si>
    <t>Laundry Income</t>
  </si>
  <si>
    <t>Electric</t>
  </si>
  <si>
    <t>Sewage and Water</t>
  </si>
  <si>
    <t>Sanitation</t>
  </si>
  <si>
    <t>Dryer Gas</t>
  </si>
  <si>
    <t>Pool Service</t>
  </si>
  <si>
    <t>Insurance</t>
  </si>
  <si>
    <t>Lawn Service</t>
  </si>
  <si>
    <t>Pest Control</t>
  </si>
  <si>
    <t>Dock Maintence</t>
  </si>
  <si>
    <t>Patio Repairs</t>
  </si>
  <si>
    <t>Roof Repairs</t>
  </si>
  <si>
    <t>Plumbing Repairs</t>
  </si>
  <si>
    <t>Repairs to Washer/Dryer</t>
  </si>
  <si>
    <t>Legal</t>
  </si>
  <si>
    <t>Grill Maintenance/Gas</t>
  </si>
  <si>
    <t>License/Taxes</t>
  </si>
  <si>
    <t>Termite Warranty</t>
  </si>
  <si>
    <t>Management Fee</t>
  </si>
  <si>
    <t>Bad Debt</t>
  </si>
  <si>
    <t>Building Repairs</t>
  </si>
  <si>
    <t>Reserves</t>
  </si>
  <si>
    <t>Total Expenses</t>
  </si>
  <si>
    <t>Item</t>
  </si>
  <si>
    <t>Estimated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</si>
  <si>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</si>
  <si>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</si>
  <si>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</si>
  <si>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</si>
  <si>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</si>
  <si>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</si>
  <si>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</si>
  <si>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</si>
  <si>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 xml:space="preserve">for </t>
  </si>
  <si>
    <t>Account</t>
  </si>
  <si>
    <t>Replacement</t>
  </si>
  <si>
    <t>for Life</t>
  </si>
  <si>
    <t>Full Reserves</t>
  </si>
  <si>
    <t>Painting</t>
  </si>
  <si>
    <t>Roof</t>
  </si>
  <si>
    <t>Paving/Maintenance</t>
  </si>
  <si>
    <t>Pool</t>
  </si>
  <si>
    <t>Total</t>
  </si>
  <si>
    <t>Unit Dues</t>
  </si>
  <si>
    <t>Assessment</t>
  </si>
  <si>
    <t xml:space="preserve">With Full Reseres </t>
  </si>
  <si>
    <t>Maintenance Fees Quarterly with Full Reserves</t>
  </si>
  <si>
    <t>Docks/Seawall</t>
  </si>
  <si>
    <t>Estd. Expenses</t>
  </si>
  <si>
    <t>Maintenance Fees Quarterly with Partial (30%) Reserves</t>
  </si>
  <si>
    <t>30% reserves</t>
  </si>
  <si>
    <t>Unit Per Quarter without reserves</t>
  </si>
  <si>
    <t>PROPOSED BUDGET</t>
  </si>
  <si>
    <t xml:space="preserve">Cleaning </t>
  </si>
  <si>
    <t>Comcast/Camera WIFI</t>
  </si>
  <si>
    <t>Partial Reserves at 20%</t>
  </si>
  <si>
    <t>*The Florida Statues require the Board of Directors to adopt a budget with full reserves.  The unit owners at a duly called meeting, may vote for full reserves or may opt to vote for reserves "less than adequate", (Partial Reserves)</t>
  </si>
  <si>
    <t>Villa Rio Condominium Association, Inc Reserves 2025</t>
  </si>
  <si>
    <t>2025 Budget</t>
  </si>
  <si>
    <t>Fire Inspection</t>
  </si>
  <si>
    <t>landscape updates</t>
  </si>
  <si>
    <t>Taxes</t>
  </si>
  <si>
    <t>Postage</t>
  </si>
  <si>
    <t>Irrigation</t>
  </si>
  <si>
    <t>Bank Fees</t>
  </si>
  <si>
    <t>Website</t>
  </si>
  <si>
    <t>this is new as state requires website through JSB</t>
  </si>
  <si>
    <t>I am increasing $400</t>
  </si>
  <si>
    <t>Concrete</t>
  </si>
  <si>
    <t>Quarterly fees are $14270.00  per Unit per quarter for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</si>
</sst>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#,##0.0#%;\-#,##0.0#%"/>
    <numFmt numFmtId="165" formatCode="_(* #,##0_);_(* \(#,##0\);_(* &quot;-&quot;??_);_(@_)"/>
    <numFmt numFmtId="166" formatCode="&quot;$&quot;#,##0"/>
    <numFmt numFmtId="167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11"/>
      <color theme="1"/>
      <name val="Calibri"/>
      <family val="2"/>
      <scheme val="minor"/>
    </font>
    <font>
      <b/>
      <sz val="10"/>
      <color rgb="FF323232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23232"/>
      <name val="Arial"/>
      <family val="2"/>
    </font>
    <font>
      <b/>
      <sz val="11"/>
      <color rgb="FF32323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23232"/>
      <name val="Calibri"/>
      <family val="2"/>
      <scheme val="minor"/>
    </font>
    <font>
      <b/>
      <sz val="12"/>
      <color rgb="FF323232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rgb="FF323232"/>
      <name val="Arial"/>
      <family val="2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0" fillId="0" borderId="0" xfId="0" applyNumberFormat="1"/>
    <xf numFmtId="49" fontId="7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2" borderId="0" xfId="0" applyFill="1"/>
    <xf numFmtId="167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43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165" fontId="9" fillId="0" borderId="0" xfId="1" applyNumberFormat="1" applyFont="1" applyFill="1" applyAlignment="1"/>
    <xf numFmtId="165" fontId="9" fillId="2" borderId="0" xfId="1" applyNumberFormat="1" applyFont="1" applyFill="1" applyAlignment="1"/>
    <xf numFmtId="0" fontId="9" fillId="2" borderId="0" xfId="0" applyFont="1" applyFill="1"/>
    <xf numFmtId="164" fontId="10" fillId="0" borderId="0" xfId="0" applyNumberFormat="1" applyFont="1" applyAlignment="1">
      <alignment horizontal="center"/>
    </xf>
    <xf numFmtId="167" fontId="8" fillId="0" borderId="0" xfId="1" applyNumberFormat="1" applyFont="1" applyFill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67" fontId="11" fillId="0" borderId="1" xfId="0" applyNumberFormat="1" applyFont="1" applyBorder="1" applyAlignment="1">
      <alignment horizontal="center" vertical="center" wrapText="1"/>
    </xf>
    <xf numFmtId="167" fontId="9" fillId="0" borderId="0" xfId="1" applyNumberFormat="1" applyFont="1" applyFill="1" applyAlignment="1">
      <alignment horizontal="center"/>
    </xf>
    <xf numFmtId="167" fontId="9" fillId="0" borderId="0" xfId="1" applyNumberFormat="1" applyFont="1" applyFill="1" applyBorder="1" applyAlignment="1">
      <alignment horizontal="center"/>
    </xf>
    <xf numFmtId="167" fontId="9" fillId="0" borderId="1" xfId="1" applyNumberFormat="1" applyFont="1" applyFill="1" applyBorder="1" applyAlignment="1">
      <alignment horizontal="center"/>
    </xf>
    <xf numFmtId="167" fontId="10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/>
    <xf numFmtId="0" fontId="9" fillId="0" borderId="6" xfId="0" applyFont="1" applyBorder="1" applyAlignment="1">
      <alignment horizontal="center"/>
    </xf>
    <xf numFmtId="8" fontId="9" fillId="0" borderId="6" xfId="0" applyNumberFormat="1" applyFont="1" applyBorder="1"/>
    <xf numFmtId="10" fontId="9" fillId="0" borderId="6" xfId="0" applyNumberFormat="1" applyFont="1" applyBorder="1" applyAlignment="1">
      <alignment horizontal="center"/>
    </xf>
    <xf numFmtId="8" fontId="9" fillId="0" borderId="6" xfId="0" applyNumberFormat="1" applyFont="1" applyBorder="1" applyAlignment="1">
      <alignment horizontal="center"/>
    </xf>
    <xf numFmtId="49" fontId="7" fillId="0" borderId="0" xfId="0" applyNumberFormat="1" applyFont="1"/>
    <xf numFmtId="8" fontId="9" fillId="0" borderId="0" xfId="0" applyNumberFormat="1" applyFont="1"/>
    <xf numFmtId="167" fontId="0" fillId="0" borderId="0" xfId="0" applyNumberFormat="1"/>
    <xf numFmtId="167" fontId="13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5" fillId="0" borderId="0" xfId="0" applyFont="1"/>
    <xf numFmtId="167" fontId="5" fillId="0" borderId="0" xfId="0" applyNumberFormat="1" applyFont="1"/>
    <xf numFmtId="8" fontId="8" fillId="0" borderId="0" xfId="0" applyNumberFormat="1" applyFont="1"/>
    <xf numFmtId="166" fontId="13" fillId="0" borderId="10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8" fontId="16" fillId="0" borderId="6" xfId="0" applyNumberFormat="1" applyFont="1" applyBorder="1" applyAlignment="1">
      <alignment horizontal="center"/>
    </xf>
    <xf numFmtId="8" fontId="8" fillId="0" borderId="15" xfId="0" applyNumberFormat="1" applyFont="1" applyBorder="1" applyAlignment="1">
      <alignment horizontal="center" vertical="center" wrapText="1"/>
    </xf>
    <xf numFmtId="10" fontId="5" fillId="2" borderId="6" xfId="0" applyNumberFormat="1" applyFont="1" applyFill="1" applyBorder="1" applyAlignment="1">
      <alignment horizontal="center"/>
    </xf>
    <xf numFmtId="8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6" fontId="0" fillId="0" borderId="0" xfId="0" applyNumberFormat="1"/>
    <xf numFmtId="167" fontId="9" fillId="0" borderId="0" xfId="0" applyNumberFormat="1" applyFont="1"/>
    <xf numFmtId="9" fontId="9" fillId="0" borderId="0" xfId="0" applyNumberFormat="1" applyFont="1"/>
    <xf numFmtId="0" fontId="9" fillId="0" borderId="17" xfId="0" applyFont="1" applyBorder="1"/>
    <xf numFmtId="0" fontId="17" fillId="0" borderId="0" xfId="0" applyFont="1"/>
    <xf numFmtId="8" fontId="17" fillId="0" borderId="0" xfId="0" applyNumberFormat="1" applyFont="1"/>
    <xf numFmtId="166" fontId="8" fillId="0" borderId="16" xfId="0" applyNumberFormat="1" applyFont="1" applyBorder="1" applyAlignment="1">
      <alignment horizontal="center" vertical="center" wrapText="1"/>
    </xf>
    <xf numFmtId="8" fontId="19" fillId="0" borderId="0" xfId="0" applyNumberFormat="1" applyFont="1" applyAlignment="1">
      <alignment horizontal="center"/>
    </xf>
    <xf numFmtId="0" fontId="19" fillId="0" borderId="0" xfId="0" applyFont="1"/>
    <xf numFmtId="8" fontId="19" fillId="2" borderId="0" xfId="0" applyNumberFormat="1" applyFont="1" applyFill="1" applyAlignment="1">
      <alignment horizontal="center"/>
    </xf>
    <xf numFmtId="8" fontId="19" fillId="0" borderId="0" xfId="0" applyNumberFormat="1" applyFont="1"/>
    <xf numFmtId="9" fontId="19" fillId="0" borderId="0" xfId="0" applyNumberFormat="1" applyFont="1"/>
    <xf numFmtId="167" fontId="19" fillId="0" borderId="0" xfId="0" applyNumberFormat="1" applyFont="1"/>
    <xf numFmtId="8" fontId="19" fillId="0" borderId="6" xfId="0" applyNumberFormat="1" applyFont="1" applyBorder="1" applyAlignment="1">
      <alignment horizontal="center"/>
    </xf>
    <xf numFmtId="8" fontId="19" fillId="2" borderId="6" xfId="0" applyNumberFormat="1" applyFont="1" applyFill="1" applyBorder="1" applyAlignment="1">
      <alignment horizontal="center"/>
    </xf>
    <xf numFmtId="8" fontId="17" fillId="0" borderId="6" xfId="0" applyNumberFormat="1" applyFont="1" applyBorder="1" applyAlignment="1">
      <alignment horizontal="center"/>
    </xf>
    <xf numFmtId="8" fontId="17" fillId="2" borderId="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167" fontId="9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8" fillId="0" borderId="10" xfId="0" applyNumberFormat="1" applyFont="1" applyBorder="1" applyAlignment="1">
      <alignment horizontal="center" vertical="center"/>
    </xf>
    <xf numFmtId="166" fontId="8" fillId="0" borderId="16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/>
    </xf>
    <xf numFmtId="9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9" fontId="20" fillId="0" borderId="6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75F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A6CB-093E-42B1-8AFD-FFC6E319B125}">
  <sheetPr>
    <tabColor rgb="FFFFFF00"/>
  </sheetPr>
  <dimension ref="A1:P61"/>
  <sheetViews>
    <sheetView tabSelected="1" zoomScale="87" zoomScaleNormal="87" workbookViewId="0">
      <pane xSplit="5" ySplit="2" topLeftCell="F3" activePane="bottomRight" state="frozen"/>
      <selection pane="topRight" activeCell="BJ1" sqref="BJ1"/>
      <selection pane="bottomLeft" activeCell="A3" sqref="A3"/>
      <selection pane="bottomRight" activeCell="P23" sqref="P23"/>
    </sheetView>
  </sheetViews>
  <sheetFormatPr defaultColWidth="8.77734375" defaultRowHeight="14.4" x14ac:dyDescent="0.3"/>
  <cols>
    <col min="1" max="4" width="3" style="1" customWidth="1"/>
    <col min="5" max="5" width="32.44140625" style="1" customWidth="1"/>
    <col min="6" max="6" width="2.21875" customWidth="1"/>
    <col min="7" max="7" width="16.77734375" style="2" bestFit="1" customWidth="1"/>
    <col min="8" max="8" width="24.5546875" style="2" bestFit="1" customWidth="1"/>
    <col min="9" max="9" width="19.21875" style="15" bestFit="1" customWidth="1"/>
    <col min="10" max="10" width="9.44140625" bestFit="1" customWidth="1"/>
    <col min="11" max="11" width="13.44140625" customWidth="1"/>
    <col min="12" max="12" width="10.44140625" bestFit="1" customWidth="1"/>
    <col min="14" max="14" width="11.21875" bestFit="1" customWidth="1"/>
    <col min="16" max="16" width="12.44140625" bestFit="1" customWidth="1"/>
  </cols>
  <sheetData>
    <row r="1" spans="1:11" ht="15" customHeight="1" x14ac:dyDescent="0.3">
      <c r="A1" s="98" t="s">
        <v>68</v>
      </c>
      <c r="B1" s="99"/>
      <c r="C1" s="99"/>
      <c r="D1" s="99"/>
      <c r="E1" s="99"/>
      <c r="F1" s="2"/>
      <c r="G1" s="4" t="s">
        <v>8</v>
      </c>
      <c r="H1" s="4" t="s">
        <v>58</v>
      </c>
      <c r="I1" s="14" t="s">
        <v>62</v>
      </c>
    </row>
    <row r="2" spans="1:11" s="2" customFormat="1" ht="16.2" thickBot="1" x14ac:dyDescent="0.35">
      <c r="A2" s="99"/>
      <c r="B2" s="99"/>
      <c r="C2" s="99"/>
      <c r="D2" s="99"/>
      <c r="E2" s="99"/>
      <c r="F2" s="3"/>
      <c r="G2" s="5">
        <v>2024</v>
      </c>
      <c r="H2" s="5">
        <v>2024</v>
      </c>
      <c r="I2" s="5">
        <v>2025</v>
      </c>
    </row>
    <row r="3" spans="1:11" ht="15.6" x14ac:dyDescent="0.3">
      <c r="A3" s="8"/>
      <c r="B3" s="8" t="s">
        <v>0</v>
      </c>
      <c r="C3" s="8"/>
      <c r="D3" s="8"/>
      <c r="E3" s="8"/>
      <c r="G3" s="20"/>
      <c r="H3" s="20"/>
      <c r="I3" s="31"/>
    </row>
    <row r="4" spans="1:11" ht="15.6" x14ac:dyDescent="0.3">
      <c r="A4" s="8"/>
      <c r="B4" s="8"/>
      <c r="C4" s="8" t="s">
        <v>1</v>
      </c>
      <c r="D4" s="8"/>
      <c r="E4" s="8"/>
      <c r="F4" s="6"/>
      <c r="G4" s="31">
        <v>50</v>
      </c>
      <c r="H4" s="20">
        <v>25</v>
      </c>
      <c r="I4" s="31">
        <v>50</v>
      </c>
    </row>
    <row r="5" spans="1:11" ht="16.2" thickBot="1" x14ac:dyDescent="0.35">
      <c r="A5" s="8"/>
      <c r="B5" s="8"/>
      <c r="C5" s="8" t="s">
        <v>9</v>
      </c>
      <c r="D5" s="8"/>
      <c r="E5" s="8"/>
      <c r="F5" s="6"/>
      <c r="G5" s="32">
        <v>2000</v>
      </c>
      <c r="H5" s="20">
        <v>5000</v>
      </c>
      <c r="I5" s="32">
        <v>5000</v>
      </c>
      <c r="K5" s="33"/>
    </row>
    <row r="6" spans="1:11" ht="15.6" x14ac:dyDescent="0.3">
      <c r="A6" s="8"/>
      <c r="B6" s="8"/>
      <c r="C6" s="8" t="s">
        <v>54</v>
      </c>
      <c r="D6" s="8"/>
      <c r="E6" s="8"/>
      <c r="F6" s="6"/>
      <c r="G6" s="32">
        <v>0</v>
      </c>
      <c r="H6" s="20">
        <v>35000</v>
      </c>
      <c r="I6" s="32">
        <v>0</v>
      </c>
      <c r="K6" s="32"/>
    </row>
    <row r="7" spans="1:11" ht="15.6" x14ac:dyDescent="0.3">
      <c r="A7" s="8"/>
      <c r="B7" s="8"/>
      <c r="C7" s="8" t="s">
        <v>10</v>
      </c>
      <c r="D7" s="8"/>
      <c r="E7" s="8"/>
      <c r="F7" s="6"/>
      <c r="G7" s="32">
        <v>3600</v>
      </c>
      <c r="H7" s="20">
        <v>2050</v>
      </c>
      <c r="I7" s="32">
        <v>2800</v>
      </c>
    </row>
    <row r="8" spans="1:11" ht="15.6" x14ac:dyDescent="0.3">
      <c r="A8" s="8"/>
      <c r="B8" s="8"/>
      <c r="C8" s="8" t="s">
        <v>2</v>
      </c>
      <c r="D8" s="8"/>
      <c r="E8" s="8"/>
      <c r="F8" s="6"/>
      <c r="G8" s="32">
        <v>100</v>
      </c>
      <c r="H8" s="20">
        <v>0</v>
      </c>
      <c r="I8" s="32">
        <v>50</v>
      </c>
      <c r="K8" s="46"/>
    </row>
    <row r="9" spans="1:11" ht="15.6" x14ac:dyDescent="0.3">
      <c r="A9" s="8"/>
      <c r="B9" s="8"/>
      <c r="C9" s="8" t="s">
        <v>31</v>
      </c>
      <c r="D9" s="8"/>
      <c r="E9" s="8"/>
      <c r="F9" s="6"/>
      <c r="G9" s="20">
        <f>5181*4</f>
        <v>20724</v>
      </c>
      <c r="H9" s="20">
        <v>20724</v>
      </c>
      <c r="I9" s="20">
        <f>I46</f>
        <v>31694.149174999995</v>
      </c>
    </row>
    <row r="10" spans="1:11" ht="16.2" thickBot="1" x14ac:dyDescent="0.35">
      <c r="A10" s="8"/>
      <c r="B10" s="8"/>
      <c r="C10" s="8" t="s">
        <v>3</v>
      </c>
      <c r="D10" s="8"/>
      <c r="E10" s="8"/>
      <c r="F10" s="6"/>
      <c r="G10" s="33">
        <v>142690</v>
      </c>
      <c r="H10" s="27">
        <v>142690</v>
      </c>
      <c r="I10" s="33">
        <f>K10</f>
        <v>159860</v>
      </c>
      <c r="K10" s="7">
        <f>SUM(I47-I4-I5-I6-I7-I8-I9)</f>
        <v>159860</v>
      </c>
    </row>
    <row r="11" spans="1:11" ht="15.6" x14ac:dyDescent="0.3">
      <c r="A11" s="8"/>
      <c r="B11" s="8" t="s">
        <v>4</v>
      </c>
      <c r="C11" s="8"/>
      <c r="D11" s="8"/>
      <c r="E11" s="8"/>
      <c r="F11" s="6"/>
      <c r="G11" s="26">
        <f>SUM(G4:G10)</f>
        <v>169164</v>
      </c>
      <c r="H11" s="28">
        <f>SUM(H4:H10)</f>
        <v>205489</v>
      </c>
      <c r="I11" s="26">
        <f>SUM(I4:I10)</f>
        <v>199454.149175</v>
      </c>
    </row>
    <row r="12" spans="1:11" ht="15.6" x14ac:dyDescent="0.3">
      <c r="A12" s="8"/>
      <c r="B12" s="8" t="s">
        <v>5</v>
      </c>
      <c r="C12" s="8"/>
      <c r="D12" s="8"/>
      <c r="E12" s="8"/>
      <c r="F12" s="6"/>
      <c r="G12" s="20"/>
      <c r="H12" s="20"/>
      <c r="I12" s="20"/>
      <c r="K12" s="46"/>
    </row>
    <row r="13" spans="1:11" ht="15.6" x14ac:dyDescent="0.3">
      <c r="A13" s="8"/>
      <c r="B13" s="8"/>
      <c r="C13" s="8" t="s">
        <v>11</v>
      </c>
      <c r="D13" s="8"/>
      <c r="E13" s="8"/>
      <c r="F13" s="6"/>
      <c r="G13" s="32">
        <v>3000</v>
      </c>
      <c r="H13" s="20">
        <v>2100</v>
      </c>
      <c r="I13" s="32">
        <v>2800</v>
      </c>
    </row>
    <row r="14" spans="1:11" ht="15.6" x14ac:dyDescent="0.3">
      <c r="A14" s="8"/>
      <c r="B14" s="8"/>
      <c r="C14" s="8" t="s">
        <v>12</v>
      </c>
      <c r="D14" s="8"/>
      <c r="E14" s="8"/>
      <c r="F14" s="6"/>
      <c r="G14" s="32">
        <v>16200</v>
      </c>
      <c r="H14" s="20">
        <v>12200</v>
      </c>
      <c r="I14" s="32">
        <v>16200</v>
      </c>
      <c r="K14" s="46"/>
    </row>
    <row r="15" spans="1:11" ht="15.6" x14ac:dyDescent="0.3">
      <c r="A15" s="8"/>
      <c r="B15" s="8"/>
      <c r="C15" s="8" t="s">
        <v>13</v>
      </c>
      <c r="D15" s="44"/>
      <c r="E15" s="44"/>
      <c r="F15" s="6"/>
      <c r="G15" s="32">
        <v>3600</v>
      </c>
      <c r="H15" s="20">
        <v>1252</v>
      </c>
      <c r="I15" s="32">
        <v>3600</v>
      </c>
    </row>
    <row r="16" spans="1:11" ht="15.6" x14ac:dyDescent="0.3">
      <c r="A16" s="8"/>
      <c r="B16" s="8"/>
      <c r="C16" s="8"/>
      <c r="D16" s="44"/>
      <c r="E16" s="44" t="s">
        <v>69</v>
      </c>
      <c r="F16" s="6"/>
      <c r="G16" s="32">
        <v>0</v>
      </c>
      <c r="H16" s="20">
        <v>2200</v>
      </c>
      <c r="I16" s="32">
        <v>500</v>
      </c>
    </row>
    <row r="17" spans="1:16" ht="15.6" x14ac:dyDescent="0.3">
      <c r="A17" s="8"/>
      <c r="B17" s="8"/>
      <c r="C17" s="8" t="s">
        <v>14</v>
      </c>
      <c r="D17" s="8"/>
      <c r="E17" s="8"/>
      <c r="F17" s="6"/>
      <c r="G17" s="32">
        <v>1200</v>
      </c>
      <c r="H17" s="20">
        <v>840</v>
      </c>
      <c r="I17" s="32">
        <v>900</v>
      </c>
      <c r="K17" s="46"/>
      <c r="M17" s="46"/>
    </row>
    <row r="18" spans="1:16" ht="15.6" x14ac:dyDescent="0.3">
      <c r="A18" s="8"/>
      <c r="B18" s="8"/>
      <c r="C18" s="8" t="s">
        <v>15</v>
      </c>
      <c r="D18" s="8"/>
      <c r="E18" s="8"/>
      <c r="F18" s="6"/>
      <c r="G18" s="32">
        <v>3900</v>
      </c>
      <c r="H18" s="20">
        <v>1500</v>
      </c>
      <c r="I18" s="32">
        <v>5500</v>
      </c>
    </row>
    <row r="19" spans="1:16" ht="15.6" x14ac:dyDescent="0.3">
      <c r="A19" s="8"/>
      <c r="B19" s="8"/>
      <c r="C19" s="8" t="s">
        <v>16</v>
      </c>
      <c r="D19" s="8"/>
      <c r="E19" s="8"/>
      <c r="F19" s="24"/>
      <c r="G19" s="32">
        <v>83200</v>
      </c>
      <c r="H19" s="20">
        <v>89000</v>
      </c>
      <c r="I19" s="32">
        <v>92000</v>
      </c>
      <c r="L19" s="60"/>
    </row>
    <row r="20" spans="1:16" ht="15.6" x14ac:dyDescent="0.3">
      <c r="A20" s="8"/>
      <c r="B20" s="8"/>
      <c r="C20" s="8"/>
      <c r="D20" s="8"/>
      <c r="E20" s="8" t="s">
        <v>25</v>
      </c>
      <c r="F20" s="24"/>
      <c r="G20" s="32">
        <v>0</v>
      </c>
      <c r="H20" s="20">
        <v>361</v>
      </c>
      <c r="I20" s="32">
        <v>600</v>
      </c>
      <c r="L20" s="60"/>
    </row>
    <row r="21" spans="1:16" ht="15.6" x14ac:dyDescent="0.3">
      <c r="A21" s="8"/>
      <c r="B21" s="8"/>
      <c r="C21" s="8" t="s">
        <v>17</v>
      </c>
      <c r="D21" s="8"/>
      <c r="E21" s="8"/>
      <c r="F21" s="6"/>
      <c r="G21" s="32">
        <v>6000</v>
      </c>
      <c r="H21" s="20">
        <v>3610</v>
      </c>
      <c r="I21" s="32">
        <v>6000</v>
      </c>
      <c r="J21" s="50"/>
      <c r="K21" s="51"/>
      <c r="L21" s="50"/>
    </row>
    <row r="22" spans="1:16" ht="15.6" x14ac:dyDescent="0.3">
      <c r="A22" s="8"/>
      <c r="B22" s="8"/>
      <c r="C22" s="8"/>
      <c r="D22" s="8"/>
      <c r="E22" s="8" t="s">
        <v>70</v>
      </c>
      <c r="F22" s="6"/>
      <c r="G22" s="32">
        <v>0</v>
      </c>
      <c r="H22" s="20">
        <v>1260</v>
      </c>
      <c r="I22" s="32">
        <v>1500</v>
      </c>
      <c r="J22" s="50"/>
      <c r="K22" s="51"/>
      <c r="L22" s="50"/>
      <c r="P22">
        <f>92000-28000</f>
        <v>64000</v>
      </c>
    </row>
    <row r="23" spans="1:16" ht="15.6" x14ac:dyDescent="0.3">
      <c r="A23" s="8"/>
      <c r="B23" s="8"/>
      <c r="C23" s="8"/>
      <c r="D23" s="8"/>
      <c r="E23" s="8" t="s">
        <v>73</v>
      </c>
      <c r="F23" s="6"/>
      <c r="G23" s="32">
        <v>0</v>
      </c>
      <c r="H23" s="20">
        <v>120</v>
      </c>
      <c r="I23" s="32">
        <v>200</v>
      </c>
      <c r="J23" s="50"/>
      <c r="K23" s="51"/>
      <c r="L23" s="50"/>
    </row>
    <row r="24" spans="1:16" ht="15.6" x14ac:dyDescent="0.3">
      <c r="A24" s="8"/>
      <c r="B24" s="8"/>
      <c r="C24" s="8" t="s">
        <v>18</v>
      </c>
      <c r="D24" s="8"/>
      <c r="E24" s="8"/>
      <c r="F24" s="6"/>
      <c r="G24" s="32">
        <v>2600</v>
      </c>
      <c r="H24" s="20">
        <v>1800</v>
      </c>
      <c r="I24" s="32">
        <v>2600</v>
      </c>
      <c r="L24" s="46"/>
    </row>
    <row r="25" spans="1:16" ht="15.6" x14ac:dyDescent="0.3">
      <c r="A25" s="8"/>
      <c r="B25" s="8"/>
      <c r="C25" s="8" t="s">
        <v>63</v>
      </c>
      <c r="D25" s="8"/>
      <c r="E25" s="8"/>
      <c r="F25" s="6"/>
      <c r="G25" s="32">
        <v>2000</v>
      </c>
      <c r="H25" s="20">
        <v>1160</v>
      </c>
      <c r="I25" s="32">
        <v>3400</v>
      </c>
      <c r="L25" s="46"/>
    </row>
    <row r="26" spans="1:16" ht="15.6" x14ac:dyDescent="0.3">
      <c r="A26" s="8"/>
      <c r="B26" s="8"/>
      <c r="C26" s="8" t="s">
        <v>64</v>
      </c>
      <c r="D26" s="8"/>
      <c r="E26" s="8"/>
      <c r="F26" s="6"/>
      <c r="G26" s="32">
        <v>2040</v>
      </c>
      <c r="H26" s="20">
        <v>975</v>
      </c>
      <c r="I26" s="32">
        <v>0</v>
      </c>
      <c r="L26" s="46"/>
      <c r="O26" s="46"/>
    </row>
    <row r="27" spans="1:16" ht="21.6" customHeight="1" x14ac:dyDescent="0.3">
      <c r="A27" s="8"/>
      <c r="B27" s="8"/>
      <c r="C27" s="8" t="s">
        <v>19</v>
      </c>
      <c r="D27" s="8"/>
      <c r="E27" s="8"/>
      <c r="F27" s="6"/>
      <c r="G27" s="32">
        <v>1000</v>
      </c>
      <c r="H27" s="20">
        <v>6000</v>
      </c>
      <c r="I27" s="32">
        <v>2500</v>
      </c>
      <c r="L27" s="60"/>
    </row>
    <row r="28" spans="1:16" ht="15.6" x14ac:dyDescent="0.3">
      <c r="A28" s="8"/>
      <c r="B28" s="8"/>
      <c r="C28" s="8" t="s">
        <v>20</v>
      </c>
      <c r="D28" s="8"/>
      <c r="E28" s="8"/>
      <c r="F28" s="6"/>
      <c r="G28" s="32">
        <v>1200</v>
      </c>
      <c r="H28" s="20">
        <v>0</v>
      </c>
      <c r="I28" s="32">
        <v>1000</v>
      </c>
    </row>
    <row r="29" spans="1:16" ht="15.6" x14ac:dyDescent="0.3">
      <c r="A29" s="8"/>
      <c r="B29" s="8"/>
      <c r="C29" s="8" t="s">
        <v>21</v>
      </c>
      <c r="D29" s="8"/>
      <c r="E29" s="8"/>
      <c r="F29" s="6"/>
      <c r="G29" s="32">
        <v>7000</v>
      </c>
      <c r="H29" s="20">
        <v>800</v>
      </c>
      <c r="I29" s="32">
        <v>4000</v>
      </c>
    </row>
    <row r="30" spans="1:16" ht="15.6" x14ac:dyDescent="0.3">
      <c r="A30" s="8"/>
      <c r="B30" s="8"/>
      <c r="C30" s="8" t="s">
        <v>30</v>
      </c>
      <c r="D30" s="8"/>
      <c r="E30" s="8"/>
      <c r="F30" s="6"/>
      <c r="G30" s="32">
        <v>4000</v>
      </c>
      <c r="H30" s="20">
        <v>5900</v>
      </c>
      <c r="I30" s="32">
        <v>10000</v>
      </c>
      <c r="L30" s="46"/>
    </row>
    <row r="31" spans="1:16" ht="15.6" x14ac:dyDescent="0.3">
      <c r="A31" s="8"/>
      <c r="B31" s="8"/>
      <c r="C31" s="8" t="s">
        <v>22</v>
      </c>
      <c r="D31" s="8"/>
      <c r="E31" s="8"/>
      <c r="F31" s="6"/>
      <c r="G31" s="32">
        <v>1200</v>
      </c>
      <c r="H31" s="20">
        <v>1200</v>
      </c>
      <c r="I31" s="32">
        <v>1200</v>
      </c>
      <c r="P31" s="46"/>
    </row>
    <row r="32" spans="1:16" ht="15.6" x14ac:dyDescent="0.3">
      <c r="A32" s="8"/>
      <c r="B32" s="8"/>
      <c r="C32" s="8" t="s">
        <v>23</v>
      </c>
      <c r="D32" s="8"/>
      <c r="E32" s="8"/>
      <c r="F32" s="6"/>
      <c r="G32" s="32">
        <v>500</v>
      </c>
      <c r="H32" s="20">
        <v>25</v>
      </c>
      <c r="I32" s="32">
        <v>2200</v>
      </c>
    </row>
    <row r="33" spans="1:12" ht="22.5" customHeight="1" x14ac:dyDescent="0.3">
      <c r="A33" s="8"/>
      <c r="B33" s="8"/>
      <c r="C33" s="8" t="s">
        <v>24</v>
      </c>
      <c r="D33" s="8"/>
      <c r="E33" s="8"/>
      <c r="F33" s="6"/>
      <c r="G33" s="32">
        <v>3000</v>
      </c>
      <c r="H33" s="20">
        <v>0</v>
      </c>
      <c r="I33" s="32">
        <v>3000</v>
      </c>
    </row>
    <row r="34" spans="1:12" ht="15.6" x14ac:dyDescent="0.3">
      <c r="A34" s="8"/>
      <c r="B34" s="8"/>
      <c r="C34" s="8" t="s">
        <v>6</v>
      </c>
      <c r="D34" s="8"/>
      <c r="E34" s="8"/>
      <c r="F34" s="6"/>
      <c r="G34" s="32">
        <v>400</v>
      </c>
      <c r="H34" s="20">
        <v>500</v>
      </c>
      <c r="I34" s="32">
        <v>500</v>
      </c>
    </row>
    <row r="35" spans="1:12" ht="15.6" x14ac:dyDescent="0.3">
      <c r="A35" s="8"/>
      <c r="B35" s="8"/>
      <c r="C35" s="8"/>
      <c r="D35" s="8"/>
      <c r="E35" s="8" t="s">
        <v>72</v>
      </c>
      <c r="F35" s="6"/>
      <c r="G35" s="32">
        <v>0</v>
      </c>
      <c r="H35" s="20">
        <v>120</v>
      </c>
      <c r="I35" s="32">
        <v>150</v>
      </c>
    </row>
    <row r="36" spans="1:12" ht="15.6" x14ac:dyDescent="0.3">
      <c r="A36" s="8"/>
      <c r="B36" s="8"/>
      <c r="C36" s="8" t="s">
        <v>26</v>
      </c>
      <c r="D36" s="8"/>
      <c r="E36" s="8"/>
      <c r="F36" s="6"/>
      <c r="G36" s="32">
        <v>400</v>
      </c>
      <c r="H36" s="20">
        <v>1200</v>
      </c>
      <c r="I36" s="32">
        <v>600</v>
      </c>
      <c r="L36" s="46"/>
    </row>
    <row r="37" spans="1:12" ht="15.6" x14ac:dyDescent="0.3">
      <c r="A37" s="8"/>
      <c r="B37" s="8"/>
      <c r="C37" s="8" t="s">
        <v>27</v>
      </c>
      <c r="D37" s="8"/>
      <c r="E37" s="8"/>
      <c r="F37" s="6"/>
      <c r="G37" s="32">
        <v>800</v>
      </c>
      <c r="H37" s="20">
        <v>793</v>
      </c>
      <c r="I37" s="32">
        <v>1000</v>
      </c>
    </row>
    <row r="38" spans="1:12" ht="15.6" x14ac:dyDescent="0.3">
      <c r="A38" s="8"/>
      <c r="B38" s="8"/>
      <c r="C38" s="8"/>
      <c r="D38" s="8"/>
      <c r="E38" s="8" t="s">
        <v>71</v>
      </c>
      <c r="F38" s="6"/>
      <c r="G38" s="32"/>
      <c r="H38" s="20">
        <v>620</v>
      </c>
      <c r="I38" s="32">
        <v>620</v>
      </c>
    </row>
    <row r="39" spans="1:12" ht="15.6" x14ac:dyDescent="0.3">
      <c r="A39" s="8"/>
      <c r="B39" s="8"/>
      <c r="C39" s="8"/>
      <c r="D39" s="8"/>
      <c r="E39" s="8" t="s">
        <v>74</v>
      </c>
      <c r="F39" s="6"/>
      <c r="G39" s="32"/>
      <c r="H39" s="20">
        <v>50</v>
      </c>
      <c r="I39" s="32">
        <v>50</v>
      </c>
    </row>
    <row r="40" spans="1:12" ht="15.6" x14ac:dyDescent="0.3">
      <c r="A40" s="8"/>
      <c r="B40" s="8"/>
      <c r="C40" s="8" t="s">
        <v>28</v>
      </c>
      <c r="D40" s="8"/>
      <c r="E40" s="8"/>
      <c r="F40" s="6"/>
      <c r="G40" s="32">
        <f>350*12</f>
        <v>4200</v>
      </c>
      <c r="H40" s="20">
        <v>2800</v>
      </c>
      <c r="I40" s="32">
        <v>4800</v>
      </c>
      <c r="J40" t="s">
        <v>77</v>
      </c>
    </row>
    <row r="41" spans="1:12" ht="15.6" x14ac:dyDescent="0.3">
      <c r="A41" s="8"/>
      <c r="B41" s="8"/>
      <c r="C41" s="8"/>
      <c r="D41" s="8"/>
      <c r="E41" s="8" t="s">
        <v>75</v>
      </c>
      <c r="F41" s="6"/>
      <c r="G41" s="32">
        <v>0</v>
      </c>
      <c r="H41" s="20">
        <v>340</v>
      </c>
      <c r="I41" s="32">
        <v>340</v>
      </c>
      <c r="J41" t="s">
        <v>76</v>
      </c>
    </row>
    <row r="42" spans="1:12" ht="15.6" x14ac:dyDescent="0.3">
      <c r="A42" s="8"/>
      <c r="B42" s="8"/>
      <c r="C42" s="8"/>
      <c r="D42" s="8"/>
      <c r="E42" s="8" t="s">
        <v>78</v>
      </c>
      <c r="F42" s="6"/>
      <c r="G42" s="32">
        <v>0</v>
      </c>
      <c r="H42" s="20">
        <v>0</v>
      </c>
      <c r="I42" s="32">
        <v>0</v>
      </c>
    </row>
    <row r="43" spans="1:12" ht="16.2" thickBot="1" x14ac:dyDescent="0.35">
      <c r="A43" s="8"/>
      <c r="C43" s="8" t="s">
        <v>29</v>
      </c>
      <c r="D43" s="8"/>
      <c r="E43" s="8"/>
      <c r="F43" s="6"/>
      <c r="G43" s="33">
        <v>1000</v>
      </c>
      <c r="H43" s="27">
        <v>0</v>
      </c>
      <c r="I43" s="33">
        <v>0</v>
      </c>
      <c r="K43" s="46"/>
      <c r="L43" s="46"/>
    </row>
    <row r="44" spans="1:12" s="1" customFormat="1" ht="15.6" x14ac:dyDescent="0.3">
      <c r="A44" s="9"/>
      <c r="B44" s="8" t="s">
        <v>7</v>
      </c>
      <c r="C44" s="8"/>
      <c r="D44" s="8"/>
      <c r="E44" s="8"/>
      <c r="F44" s="17"/>
      <c r="G44" s="25">
        <f>SUM(G13:G43)</f>
        <v>148440</v>
      </c>
      <c r="H44" s="29">
        <f>SUM(H13:H43)</f>
        <v>138726</v>
      </c>
      <c r="I44" s="25">
        <f>SUM(I13:I43)</f>
        <v>167760</v>
      </c>
    </row>
    <row r="45" spans="1:12" ht="15" customHeight="1" x14ac:dyDescent="0.3">
      <c r="A45" s="10"/>
      <c r="B45" s="10"/>
      <c r="C45" s="9"/>
      <c r="D45" s="9"/>
      <c r="E45" s="9"/>
      <c r="F45" s="18"/>
      <c r="G45" s="34"/>
      <c r="H45" s="34"/>
      <c r="I45" s="34"/>
    </row>
    <row r="46" spans="1:12" ht="37.5" customHeight="1" thickBot="1" x14ac:dyDescent="0.35">
      <c r="A46" s="10"/>
      <c r="B46" s="10"/>
      <c r="C46" s="80" t="s">
        <v>31</v>
      </c>
      <c r="D46" s="80"/>
      <c r="E46" s="80"/>
      <c r="F46" s="18"/>
      <c r="G46" s="27">
        <v>20724.61</v>
      </c>
      <c r="H46" s="30">
        <f>SUM(H9)</f>
        <v>20724</v>
      </c>
      <c r="I46" s="27">
        <f>'reserves 2025)'!J11</f>
        <v>31694.149174999995</v>
      </c>
      <c r="K46" s="46"/>
      <c r="L46" s="46"/>
    </row>
    <row r="47" spans="1:12" ht="15.6" x14ac:dyDescent="0.3">
      <c r="C47" s="80" t="s">
        <v>32</v>
      </c>
      <c r="D47" s="80"/>
      <c r="E47" s="80"/>
      <c r="F47" s="6"/>
      <c r="G47" s="11">
        <f>SUM(G44+G46)</f>
        <v>169164.61</v>
      </c>
      <c r="H47" s="28">
        <f>SUM(H46+H44)</f>
        <v>159450</v>
      </c>
      <c r="I47" s="11">
        <f>SUM(I44+I46)</f>
        <v>199454.149175</v>
      </c>
      <c r="K47" s="46">
        <f>SUM(I10/28/4)</f>
        <v>1427.3214285714287</v>
      </c>
    </row>
    <row r="48" spans="1:12" ht="16.2" thickBot="1" x14ac:dyDescent="0.35">
      <c r="F48" s="6"/>
      <c r="G48" s="6"/>
      <c r="H48" s="6"/>
      <c r="I48" s="21"/>
    </row>
    <row r="49" spans="1:14" ht="15.6" customHeight="1" x14ac:dyDescent="0.3">
      <c r="C49" s="102" t="s">
        <v>79</v>
      </c>
      <c r="D49" s="103"/>
      <c r="E49" s="103"/>
      <c r="F49" s="103"/>
      <c r="G49" s="103"/>
      <c r="H49" s="103"/>
      <c r="I49" s="104"/>
      <c r="J49" s="50"/>
      <c r="K49" s="50"/>
      <c r="L49" s="50"/>
      <c r="M49" s="50"/>
      <c r="N49" s="51"/>
    </row>
    <row r="50" spans="1:14" ht="57.6" customHeight="1" thickBot="1" x14ac:dyDescent="0.35">
      <c r="A50" s="12"/>
      <c r="B50" s="12"/>
      <c r="C50" s="105"/>
      <c r="D50" s="106"/>
      <c r="E50" s="106"/>
      <c r="F50" s="106"/>
      <c r="G50" s="106"/>
      <c r="H50" s="106"/>
      <c r="I50" s="107"/>
    </row>
    <row r="51" spans="1:14" ht="15.6" x14ac:dyDescent="0.3">
      <c r="A51" s="13"/>
      <c r="B51" s="13"/>
      <c r="C51" s="12"/>
      <c r="D51" s="12"/>
      <c r="E51" s="12"/>
      <c r="F51" s="78"/>
      <c r="G51" s="78"/>
      <c r="H51" s="6"/>
      <c r="I51" s="22"/>
    </row>
    <row r="52" spans="1:14" ht="15.6" x14ac:dyDescent="0.3">
      <c r="A52" s="13"/>
      <c r="B52" s="13"/>
      <c r="C52" s="13"/>
      <c r="D52" s="13"/>
      <c r="E52" s="77"/>
      <c r="F52" s="78"/>
      <c r="G52" s="78"/>
      <c r="H52" s="19"/>
      <c r="I52" s="22"/>
    </row>
    <row r="53" spans="1:14" ht="15.6" x14ac:dyDescent="0.3">
      <c r="A53" s="13"/>
      <c r="B53" s="13"/>
      <c r="C53" s="13"/>
      <c r="D53" s="13"/>
      <c r="E53" s="77"/>
      <c r="F53" s="78"/>
      <c r="G53" s="78"/>
      <c r="H53" s="6"/>
      <c r="I53" s="23"/>
    </row>
    <row r="54" spans="1:14" ht="15.6" x14ac:dyDescent="0.3">
      <c r="A54" s="13"/>
      <c r="B54" s="13"/>
      <c r="C54" s="13"/>
      <c r="D54" s="13"/>
      <c r="E54" s="77"/>
      <c r="F54" s="78"/>
      <c r="G54" s="78"/>
      <c r="H54" s="19"/>
      <c r="I54" s="23"/>
    </row>
    <row r="55" spans="1:14" ht="15.6" x14ac:dyDescent="0.3">
      <c r="A55" s="13"/>
      <c r="B55" s="13"/>
      <c r="C55" s="13"/>
      <c r="D55" s="13"/>
      <c r="E55" s="77"/>
      <c r="F55" s="78"/>
      <c r="G55" s="78"/>
      <c r="H55" s="6"/>
      <c r="I55" s="23"/>
    </row>
    <row r="56" spans="1:14" ht="15.6" x14ac:dyDescent="0.3">
      <c r="A56" s="13"/>
      <c r="B56" s="13"/>
      <c r="C56" s="13"/>
      <c r="D56" s="13"/>
      <c r="E56" s="77"/>
      <c r="F56" s="78"/>
      <c r="G56" s="78"/>
      <c r="H56" s="20"/>
      <c r="I56" s="23"/>
    </row>
    <row r="57" spans="1:14" x14ac:dyDescent="0.3">
      <c r="A57" s="13"/>
      <c r="B57" s="13"/>
      <c r="C57" s="13"/>
      <c r="D57" s="13"/>
      <c r="E57" s="77"/>
      <c r="F57" s="79"/>
      <c r="G57" s="79"/>
    </row>
    <row r="58" spans="1:14" x14ac:dyDescent="0.3">
      <c r="A58" s="13"/>
      <c r="B58" s="13"/>
      <c r="C58" s="13"/>
      <c r="D58" s="13"/>
      <c r="E58" s="77"/>
      <c r="F58" s="79"/>
      <c r="G58" s="79"/>
      <c r="H58" s="16"/>
    </row>
    <row r="59" spans="1:14" x14ac:dyDescent="0.3">
      <c r="A59" s="13"/>
      <c r="B59" s="13"/>
      <c r="C59" s="13"/>
      <c r="D59" s="13"/>
      <c r="E59" s="77"/>
      <c r="F59" s="79"/>
      <c r="G59" s="79"/>
    </row>
    <row r="60" spans="1:14" x14ac:dyDescent="0.3">
      <c r="A60" s="13"/>
      <c r="B60" s="13"/>
      <c r="C60" s="13"/>
      <c r="D60" s="13"/>
      <c r="E60" s="77"/>
      <c r="F60" s="79"/>
      <c r="G60" s="79"/>
      <c r="H60" s="16"/>
    </row>
    <row r="61" spans="1:14" x14ac:dyDescent="0.3">
      <c r="C61" s="13"/>
      <c r="D61" s="13"/>
      <c r="E61" s="77"/>
    </row>
  </sheetData>
  <mergeCells count="14">
    <mergeCell ref="F57:G58"/>
    <mergeCell ref="E58:E59"/>
    <mergeCell ref="F59:G60"/>
    <mergeCell ref="E60:E61"/>
    <mergeCell ref="A1:E2"/>
    <mergeCell ref="C46:E46"/>
    <mergeCell ref="C47:E47"/>
    <mergeCell ref="C49:I50"/>
    <mergeCell ref="F51:G52"/>
    <mergeCell ref="E52:E53"/>
    <mergeCell ref="F53:G54"/>
    <mergeCell ref="E54:E55"/>
    <mergeCell ref="F55:G56"/>
    <mergeCell ref="E56:E57"/>
  </mergeCells>
  <printOptions horizontalCentered="1" verticalCentered="1"/>
  <pageMargins left="0.45" right="0.45" top="0.75" bottom="0.75" header="0.3" footer="0.3"/>
  <pageSetup scale="71" orientation="portrait" horizontalDpi="300" verticalDpi="300" r:id="rId1"/>
  <headerFooter>
    <oddHeader>&amp;CVilla Rio Condominium Association, Inc.
Amended Budget for 2024
January 1, 2024 to December 31,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4ECD-62F4-40D9-9955-CCF1615CF93E}">
  <sheetPr>
    <tabColor rgb="FFFFFF00"/>
  </sheetPr>
  <dimension ref="A1:N23"/>
  <sheetViews>
    <sheetView zoomScale="90" zoomScaleNormal="90" zoomScaleSheetLayoutView="75" workbookViewId="0">
      <selection activeCell="K9" sqref="K9"/>
    </sheetView>
  </sheetViews>
  <sheetFormatPr defaultColWidth="9.21875" defaultRowHeight="15.6" x14ac:dyDescent="0.3"/>
  <cols>
    <col min="1" max="1" width="34.5546875" style="35" customWidth="1"/>
    <col min="2" max="2" width="12.44140625" style="35" customWidth="1"/>
    <col min="3" max="3" width="18.21875" style="35" bestFit="1" customWidth="1"/>
    <col min="4" max="4" width="19" style="35" bestFit="1" customWidth="1"/>
    <col min="5" max="5" width="17.21875" style="35" bestFit="1" customWidth="1"/>
    <col min="6" max="6" width="22.44140625" style="35" customWidth="1"/>
    <col min="7" max="7" width="22.77734375" style="35" bestFit="1" customWidth="1"/>
    <col min="8" max="8" width="18.5546875" style="35" customWidth="1"/>
    <col min="9" max="9" width="16.77734375" style="35" customWidth="1"/>
    <col min="10" max="10" width="20.44140625" style="68" customWidth="1"/>
    <col min="11" max="11" width="28" style="68" customWidth="1"/>
    <col min="12" max="12" width="22.77734375" style="68" customWidth="1"/>
    <col min="13" max="13" width="13.21875" style="68" bestFit="1" customWidth="1"/>
    <col min="14" max="14" width="10.77734375" style="35" bestFit="1" customWidth="1"/>
    <col min="15" max="16384" width="9.21875" style="35"/>
  </cols>
  <sheetData>
    <row r="1" spans="1:14" x14ac:dyDescent="0.3">
      <c r="A1" s="81" t="s">
        <v>67</v>
      </c>
      <c r="B1" s="81"/>
      <c r="C1" s="81"/>
      <c r="D1" s="81"/>
      <c r="E1" s="81"/>
      <c r="F1" s="81"/>
      <c r="G1" s="81"/>
      <c r="H1" s="81"/>
      <c r="I1" s="81"/>
    </row>
    <row r="2" spans="1:14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4" ht="34.5" customHeight="1" x14ac:dyDescent="0.3">
      <c r="A3" s="83" t="s">
        <v>33</v>
      </c>
      <c r="B3" s="36" t="s">
        <v>34</v>
      </c>
      <c r="C3" s="36" t="s">
        <v>34</v>
      </c>
      <c r="D3" s="36" t="s">
        <v>35</v>
      </c>
      <c r="E3" s="36" t="s">
        <v>36</v>
      </c>
      <c r="F3" s="36" t="s">
        <v>37</v>
      </c>
      <c r="G3" s="36" t="s">
        <v>38</v>
      </c>
      <c r="H3" s="48" t="s">
        <v>39</v>
      </c>
      <c r="I3" s="63"/>
      <c r="L3" s="68">
        <f>1675-1460</f>
        <v>215</v>
      </c>
      <c r="M3" s="68">
        <f>860/12</f>
        <v>71.666666666666671</v>
      </c>
      <c r="N3" s="64"/>
    </row>
    <row r="4" spans="1:14" ht="34.5" customHeight="1" x14ac:dyDescent="0.3">
      <c r="A4" s="84"/>
      <c r="B4" s="36" t="s">
        <v>40</v>
      </c>
      <c r="C4" s="36" t="s">
        <v>41</v>
      </c>
      <c r="D4" s="36" t="s">
        <v>42</v>
      </c>
      <c r="E4" s="36" t="s">
        <v>31</v>
      </c>
      <c r="F4" s="36" t="s">
        <v>43</v>
      </c>
      <c r="G4" s="36" t="s">
        <v>39</v>
      </c>
      <c r="H4" s="36" t="s">
        <v>68</v>
      </c>
      <c r="I4" s="111" t="s">
        <v>65</v>
      </c>
      <c r="J4" s="113">
        <v>0.3</v>
      </c>
      <c r="K4" s="109">
        <v>0.4</v>
      </c>
      <c r="L4" s="109">
        <v>0.1</v>
      </c>
      <c r="M4" s="109">
        <v>0.15</v>
      </c>
      <c r="N4" s="64"/>
    </row>
    <row r="5" spans="1:14" ht="34.5" customHeight="1" x14ac:dyDescent="0.3">
      <c r="A5" s="36"/>
      <c r="B5" s="37"/>
      <c r="C5" s="37"/>
      <c r="D5" s="37" t="s">
        <v>44</v>
      </c>
      <c r="E5" s="38">
        <v>45657</v>
      </c>
      <c r="F5" s="37" t="s">
        <v>45</v>
      </c>
      <c r="G5" s="37" t="s">
        <v>46</v>
      </c>
      <c r="H5" s="37" t="s">
        <v>47</v>
      </c>
      <c r="I5" s="112"/>
      <c r="J5" s="114"/>
      <c r="K5" s="110"/>
      <c r="L5" s="110"/>
      <c r="M5" s="110"/>
      <c r="N5" s="64"/>
    </row>
    <row r="6" spans="1:14" ht="34.5" customHeight="1" x14ac:dyDescent="0.3">
      <c r="A6" s="39" t="s">
        <v>48</v>
      </c>
      <c r="B6" s="40">
        <v>7</v>
      </c>
      <c r="C6" s="41">
        <v>18000</v>
      </c>
      <c r="D6" s="42">
        <v>0.08</v>
      </c>
      <c r="E6" s="55">
        <f>(E11*D6)+11000</f>
        <v>17713.328799999999</v>
      </c>
      <c r="F6" s="40">
        <v>1</v>
      </c>
      <c r="G6" s="43">
        <f>C6-E6</f>
        <v>286.67120000000068</v>
      </c>
      <c r="H6" s="43">
        <f>SUM(G6/F6)</f>
        <v>286.67120000000068</v>
      </c>
      <c r="I6" s="75">
        <f>H6*0.2</f>
        <v>57.334240000000136</v>
      </c>
      <c r="J6" s="73">
        <f>H6*0.3</f>
        <v>86.001360000000204</v>
      </c>
      <c r="K6" s="67"/>
      <c r="L6" s="67"/>
      <c r="M6" s="67"/>
      <c r="N6" s="64"/>
    </row>
    <row r="7" spans="1:14" ht="34.5" customHeight="1" x14ac:dyDescent="0.3">
      <c r="A7" s="39" t="s">
        <v>49</v>
      </c>
      <c r="B7" s="40">
        <v>20</v>
      </c>
      <c r="C7" s="41">
        <v>200000</v>
      </c>
      <c r="D7" s="42">
        <v>0.52</v>
      </c>
      <c r="E7" s="55">
        <f>E11*D7+6000-5254</f>
        <v>44382.637200000005</v>
      </c>
      <c r="F7" s="40">
        <v>2</v>
      </c>
      <c r="G7" s="43">
        <f t="shared" ref="G7:G9" si="0">C7-E7</f>
        <v>155617.3628</v>
      </c>
      <c r="H7" s="43">
        <f>SUM(G7/F7)</f>
        <v>77808.681400000001</v>
      </c>
      <c r="I7" s="75">
        <f>H7*0.2</f>
        <v>15561.736280000001</v>
      </c>
      <c r="J7" s="73">
        <f>H7*0.3</f>
        <v>23342.60442</v>
      </c>
      <c r="K7" s="67">
        <f>E6+E7+E8+E9+E10</f>
        <v>84662.609999999986</v>
      </c>
      <c r="L7" s="67"/>
      <c r="M7" s="67"/>
      <c r="N7" s="64"/>
    </row>
    <row r="8" spans="1:14" ht="34.5" customHeight="1" x14ac:dyDescent="0.3">
      <c r="A8" s="39" t="s">
        <v>57</v>
      </c>
      <c r="B8" s="40">
        <v>20</v>
      </c>
      <c r="C8" s="41">
        <v>80000</v>
      </c>
      <c r="D8" s="42">
        <v>0.2</v>
      </c>
      <c r="E8" s="55">
        <f>E11*D8-11000</f>
        <v>5783.3220000000001</v>
      </c>
      <c r="F8" s="40">
        <v>3</v>
      </c>
      <c r="G8" s="43">
        <f>C8-E8</f>
        <v>74216.678</v>
      </c>
      <c r="H8" s="43">
        <f>SUM(G8/F8)</f>
        <v>24738.892666666667</v>
      </c>
      <c r="I8" s="75">
        <f>H8*0.2</f>
        <v>4947.7785333333341</v>
      </c>
      <c r="J8" s="73">
        <f>SUM(H8*0.3)</f>
        <v>7421.6677999999993</v>
      </c>
      <c r="K8" s="67"/>
      <c r="L8" s="67"/>
      <c r="M8" s="67"/>
      <c r="N8" s="64"/>
    </row>
    <row r="9" spans="1:14" ht="34.5" customHeight="1" x14ac:dyDescent="0.3">
      <c r="A9" s="39" t="s">
        <v>50</v>
      </c>
      <c r="B9" s="40">
        <v>15</v>
      </c>
      <c r="C9" s="41">
        <v>20000</v>
      </c>
      <c r="D9" s="42">
        <v>0.1</v>
      </c>
      <c r="E9" s="55">
        <f>E11*D9</f>
        <v>8391.6610000000001</v>
      </c>
      <c r="F9" s="40">
        <v>10</v>
      </c>
      <c r="G9" s="43">
        <f t="shared" si="0"/>
        <v>11608.339</v>
      </c>
      <c r="H9" s="43">
        <f>SUM(G9/F9)</f>
        <v>1160.8339000000001</v>
      </c>
      <c r="I9" s="75">
        <f>H9*0.2</f>
        <v>232.16678000000002</v>
      </c>
      <c r="J9" s="73">
        <f>SUM(H9*0.3)</f>
        <v>348.25017000000003</v>
      </c>
      <c r="K9" s="67">
        <f>J11/4</f>
        <v>7923.5372937499988</v>
      </c>
      <c r="L9" s="67"/>
      <c r="M9" s="67"/>
      <c r="N9" s="65">
        <f>H8*0.2</f>
        <v>4947.7785333333341</v>
      </c>
    </row>
    <row r="10" spans="1:14" ht="34.5" customHeight="1" x14ac:dyDescent="0.3">
      <c r="A10" s="39" t="s">
        <v>51</v>
      </c>
      <c r="B10" s="40">
        <v>10</v>
      </c>
      <c r="C10" s="41">
        <v>15000</v>
      </c>
      <c r="D10" s="42">
        <v>0.1</v>
      </c>
      <c r="E10" s="55">
        <f>E11*D10</f>
        <v>8391.6610000000001</v>
      </c>
      <c r="F10" s="40">
        <v>4</v>
      </c>
      <c r="G10" s="43">
        <f>C10-E10</f>
        <v>6608.3389999999999</v>
      </c>
      <c r="H10" s="43">
        <f>SUM(G10/F10)</f>
        <v>1652.08475</v>
      </c>
      <c r="I10" s="75">
        <f>H10*0.2</f>
        <v>330.41695000000004</v>
      </c>
      <c r="J10" s="73">
        <f>H10*0.3</f>
        <v>495.62542499999995</v>
      </c>
      <c r="K10" s="67"/>
      <c r="L10" s="67"/>
      <c r="M10" s="67"/>
      <c r="N10" s="64"/>
    </row>
    <row r="11" spans="1:14" ht="34.5" customHeight="1" x14ac:dyDescent="0.3">
      <c r="A11" s="39" t="s">
        <v>52</v>
      </c>
      <c r="B11" s="36"/>
      <c r="C11" s="58">
        <f>SUM(C6:C10)</f>
        <v>333000</v>
      </c>
      <c r="D11" s="57">
        <f>SUM(D6:D10)</f>
        <v>1</v>
      </c>
      <c r="E11" s="58">
        <f>17653.65+43994.72+5634.12+8317.06+8317.06</f>
        <v>83916.61</v>
      </c>
      <c r="F11" s="59"/>
      <c r="G11" s="58">
        <f>C11-E11</f>
        <v>249083.39</v>
      </c>
      <c r="H11" s="58">
        <f>SUM(H6:H10)</f>
        <v>105647.16391666666</v>
      </c>
      <c r="I11" s="76">
        <f>SUM(I6:I10)</f>
        <v>21129.432783333334</v>
      </c>
      <c r="J11" s="74">
        <f>H11*0.3</f>
        <v>31694.149174999995</v>
      </c>
      <c r="K11" s="69">
        <f>H11*0.4</f>
        <v>42258.865566666667</v>
      </c>
      <c r="L11" s="69">
        <f>H11*0.1</f>
        <v>10564.716391666667</v>
      </c>
      <c r="M11" s="69">
        <f>H11*0.15</f>
        <v>15847.074587499998</v>
      </c>
      <c r="N11" s="64">
        <f>120252.8/3</f>
        <v>40084.26666666667</v>
      </c>
    </row>
    <row r="12" spans="1:14" ht="34.5" customHeight="1" thickBot="1" x14ac:dyDescent="0.35">
      <c r="J12" s="70">
        <f>SUM(J6+J7+J8+J9+J10)</f>
        <v>31694.149174999995</v>
      </c>
      <c r="K12" s="70">
        <f>K11/4/28</f>
        <v>377.31129970238095</v>
      </c>
      <c r="L12" s="70">
        <f>L11/4/28</f>
        <v>94.327824925595237</v>
      </c>
      <c r="M12" s="70">
        <f>M11/4/28</f>
        <v>141.49173738839283</v>
      </c>
    </row>
    <row r="13" spans="1:14" ht="69" customHeight="1" x14ac:dyDescent="0.3">
      <c r="A13" s="92" t="s">
        <v>53</v>
      </c>
      <c r="B13" s="93"/>
      <c r="C13" s="47" t="s">
        <v>61</v>
      </c>
      <c r="D13" s="49" t="s">
        <v>55</v>
      </c>
      <c r="E13" s="96" t="s">
        <v>56</v>
      </c>
      <c r="F13" s="97"/>
      <c r="G13" s="56" t="s">
        <v>60</v>
      </c>
      <c r="H13" s="91" t="s">
        <v>59</v>
      </c>
      <c r="I13" s="91"/>
      <c r="K13" s="71">
        <v>0.4</v>
      </c>
      <c r="L13" s="71">
        <v>0.15</v>
      </c>
      <c r="M13" s="71">
        <v>0.1</v>
      </c>
      <c r="N13" s="62">
        <v>0.2</v>
      </c>
    </row>
    <row r="14" spans="1:14" ht="34.5" customHeight="1" thickBot="1" x14ac:dyDescent="0.35">
      <c r="A14" s="94"/>
      <c r="B14" s="95"/>
      <c r="C14" s="53">
        <f>SUM('budget 2025'!K47)</f>
        <v>1427.3214285714287</v>
      </c>
      <c r="D14" s="54">
        <f>SUM(H11/28)/4</f>
        <v>943.27824925595235</v>
      </c>
      <c r="E14" s="100">
        <f>C14+D14</f>
        <v>2370.5996778273811</v>
      </c>
      <c r="F14" s="101"/>
      <c r="G14" s="66">
        <f>SUM(J11/28/4)</f>
        <v>282.98347477678567</v>
      </c>
      <c r="H14" s="108">
        <f>C14+G14</f>
        <v>1710.3049033482143</v>
      </c>
      <c r="I14" s="108"/>
      <c r="K14" s="70">
        <f>J11/4/28</f>
        <v>282.98347477678567</v>
      </c>
      <c r="L14" s="70">
        <f>K11/4/28</f>
        <v>377.31129970238095</v>
      </c>
      <c r="M14" s="72">
        <f>L11/28/4</f>
        <v>94.327824925595237</v>
      </c>
      <c r="N14" s="45">
        <f>M11/28/4</f>
        <v>141.49173738839283</v>
      </c>
    </row>
    <row r="15" spans="1:14" ht="34.5" customHeight="1" thickBot="1" x14ac:dyDescent="0.35">
      <c r="D15" s="52"/>
      <c r="E15" s="14"/>
      <c r="F15" s="14"/>
      <c r="J15" s="70">
        <f>71267+7000+5181</f>
        <v>83448</v>
      </c>
      <c r="K15" s="70">
        <f>K14+C14</f>
        <v>1710.3049033482143</v>
      </c>
      <c r="L15" s="70">
        <f>L14+C14</f>
        <v>1804.6327282738096</v>
      </c>
      <c r="M15" s="72">
        <f>C14+M14</f>
        <v>1521.6492534970239</v>
      </c>
      <c r="N15" s="61">
        <f>C14+N14</f>
        <v>1568.8131659598216</v>
      </c>
    </row>
    <row r="16" spans="1:14" ht="34.5" customHeight="1" x14ac:dyDescent="0.3">
      <c r="A16" s="85" t="s">
        <v>66</v>
      </c>
      <c r="B16" s="86"/>
      <c r="C16" s="86"/>
      <c r="D16" s="86"/>
      <c r="E16" s="86"/>
      <c r="F16" s="86"/>
      <c r="G16" s="86"/>
      <c r="H16" s="87"/>
      <c r="J16" s="70">
        <f>I11/4</f>
        <v>5282.3581958333334</v>
      </c>
      <c r="K16" s="70">
        <f>J11/4</f>
        <v>7923.5372937499988</v>
      </c>
      <c r="L16" s="70">
        <f>K11/4</f>
        <v>10564.716391666667</v>
      </c>
      <c r="M16" s="70">
        <f>L11/4</f>
        <v>2641.1790979166667</v>
      </c>
      <c r="N16" s="45">
        <f>M11/4</f>
        <v>3961.7686468749994</v>
      </c>
    </row>
    <row r="17" spans="1:13" ht="34.5" customHeight="1" thickBot="1" x14ac:dyDescent="0.35">
      <c r="A17" s="88"/>
      <c r="B17" s="89"/>
      <c r="C17" s="89"/>
      <c r="D17" s="89"/>
      <c r="E17" s="89"/>
      <c r="F17" s="89"/>
      <c r="G17" s="89"/>
      <c r="H17" s="90"/>
    </row>
    <row r="18" spans="1:13" x14ac:dyDescent="0.3">
      <c r="M18" s="68">
        <f>1275+180</f>
        <v>1455</v>
      </c>
    </row>
    <row r="21" spans="1:13" x14ac:dyDescent="0.3">
      <c r="G21" s="35">
        <f>41865/28/8</f>
        <v>186.89732142857142</v>
      </c>
    </row>
    <row r="22" spans="1:13" x14ac:dyDescent="0.3">
      <c r="G22" s="35">
        <f>1500/8</f>
        <v>187.5</v>
      </c>
    </row>
    <row r="23" spans="1:13" x14ac:dyDescent="0.3">
      <c r="J23" s="68">
        <f>114.77+7301.83+9018.96+374.1+498.42</f>
        <v>17308.079999999994</v>
      </c>
    </row>
  </sheetData>
  <mergeCells count="13">
    <mergeCell ref="A1:I2"/>
    <mergeCell ref="A3:A4"/>
    <mergeCell ref="I4:I5"/>
    <mergeCell ref="J4:J5"/>
    <mergeCell ref="K4:K5"/>
    <mergeCell ref="A16:H17"/>
    <mergeCell ref="M4:M5"/>
    <mergeCell ref="A13:B14"/>
    <mergeCell ref="E13:F13"/>
    <mergeCell ref="H13:I13"/>
    <mergeCell ref="E14:F14"/>
    <mergeCell ref="H14:I14"/>
    <mergeCell ref="L4:L5"/>
  </mergeCells>
  <pageMargins left="0.25" right="0.25" top="0.75" bottom="0.75" header="0.3" footer="0.3"/>
  <pageSetup scale="6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budget 2025</vt:lpstr>
      <vt:lpstr>reserves 2025)</vt:lpstr>
      <vt:lpstr>Sheet2</vt:lpstr>
      <vt:lpstr>Sheet3</vt:lpstr>
      <vt:lpstr>'budget 2025'!Print_Area</vt:lpstr>
      <vt:lpstr>'reserves 2025)'!Print_Area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</dc:creator>
  <cp:lastModifiedBy>jamie blum</cp:lastModifiedBy>
  <cp:lastPrinted>2023-10-30T13:02:34Z</cp:lastPrinted>
  <dcterms:created xsi:type="dcterms:W3CDTF">2016-02-15T11:33:31Z</dcterms:created>
  <dcterms:modified xsi:type="dcterms:W3CDTF">2025-03-02T22:40:16Z</dcterms:modified>
</cp:coreProperties>
</file>