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B76C290E-1B1E-4084-8F2E-4A31709332A6}" xr6:coauthVersionLast="47" xr6:coauthVersionMax="47" xr10:uidLastSave="{00000000-0000-0000-0000-000000000000}"/>
  <bookViews>
    <workbookView xWindow="-108" yWindow="-108" windowWidth="23256" windowHeight="13896" tabRatio="500" firstSheet="23" activeTab="23" xr2:uid="{00000000-000D-0000-FFFF-FFFF00000000}"/>
  </bookViews>
  <sheets>
    <sheet name="2015" sheetId="1" r:id="rId1"/>
    <sheet name="2016" sheetId="2" r:id="rId2"/>
    <sheet name="reserves 2016" sheetId="3" r:id="rId3"/>
    <sheet name="assessment 2015" sheetId="4" r:id="rId4"/>
    <sheet name="2017" sheetId="5" r:id="rId5"/>
    <sheet name="reserves 2017" sheetId="6" r:id="rId6"/>
    <sheet name="Budget 2018" sheetId="7" r:id="rId7"/>
    <sheet name="Reserves 2018" sheetId="8" r:id="rId8"/>
    <sheet name="Budget 2019" sheetId="9" r:id="rId9"/>
    <sheet name="Reserves 2019" sheetId="10" r:id="rId10"/>
    <sheet name="Budget 2020" sheetId="11" r:id="rId11"/>
    <sheet name="Reserves 2020" sheetId="12" r:id="rId12"/>
    <sheet name="Budget 2021" sheetId="13" r:id="rId13"/>
    <sheet name="Reserves 2021" sheetId="14" r:id="rId14"/>
    <sheet name="assessment 2021" sheetId="15" r:id="rId15"/>
    <sheet name="Budget 2022" sheetId="16" r:id="rId16"/>
    <sheet name="Reserves 2022" sheetId="17" r:id="rId17"/>
    <sheet name="assessment 2022" sheetId="18" r:id="rId18"/>
    <sheet name="Budget 2023" sheetId="19" r:id="rId19"/>
    <sheet name="Reserves 2023" sheetId="20" r:id="rId20"/>
    <sheet name="assessment 2023" sheetId="21" r:id="rId21"/>
    <sheet name="Reserves 2024" sheetId="22" r:id="rId22"/>
    <sheet name="Budget 2024" sheetId="24" r:id="rId23"/>
    <sheet name="budget 2025" sheetId="25" r:id="rId24"/>
    <sheet name="Reserves 2025" sheetId="26" r:id="rId25"/>
  </sheets>
  <definedNames>
    <definedName name="_xlnm.Print_Area" localSheetId="1">'2016'!$A$1:$D$45</definedName>
    <definedName name="_xlnm.Print_Area" localSheetId="4">'2017'!$A$1:$D$53</definedName>
    <definedName name="_xlnm.Print_Area" localSheetId="3">'assessment 2015'!$A$1:$I$9</definedName>
    <definedName name="_xlnm.Print_Area" localSheetId="14">'assessment 2021'!$A$1:$H$9</definedName>
    <definedName name="_xlnm.Print_Area" localSheetId="17">'assessment 2022'!$A$1:$H$9</definedName>
    <definedName name="_xlnm.Print_Area" localSheetId="20">'assessment 2023'!$A$1:$H$9</definedName>
    <definedName name="_xlnm.Print_Area" localSheetId="6">'Budget 2018'!$A$1:$D$53</definedName>
    <definedName name="_xlnm.Print_Area" localSheetId="8">'Budget 2019'!$A$1:$D$55</definedName>
    <definedName name="_xlnm.Print_Area" localSheetId="10">'Budget 2020'!$A$1:$D$55</definedName>
    <definedName name="_xlnm.Print_Area" localSheetId="12">'Budget 2021'!$A$1:$D$53</definedName>
    <definedName name="_xlnm.Print_Area" localSheetId="15">'Budget 2022'!$A$1:$D$53</definedName>
    <definedName name="_xlnm.Print_Area" localSheetId="18">'Budget 2023'!$A$1:$D$54</definedName>
    <definedName name="_xlnm.Print_Area" localSheetId="22">'Budget 2024'!$A$1:$D$58</definedName>
    <definedName name="_xlnm.Print_Area" localSheetId="23">'budget 2025'!$A$1:$D$63</definedName>
    <definedName name="_xlnm.Print_Area" localSheetId="2">'reserves 2016'!$A$1:$I$22</definedName>
    <definedName name="_xlnm.Print_Area" localSheetId="5">'reserves 2017'!$A$1:$I$22</definedName>
    <definedName name="_xlnm.Print_Area" localSheetId="7">'Reserves 2018'!$A$1:$I$22</definedName>
    <definedName name="_xlnm.Print_Area" localSheetId="9">'Reserves 2019'!$A$1:$I$22</definedName>
    <definedName name="_xlnm.Print_Area" localSheetId="11">'Reserves 2020'!$A$1:$I$22</definedName>
    <definedName name="_xlnm.Print_Area" localSheetId="13">'Reserves 2021'!$A$1:$I$23</definedName>
    <definedName name="_xlnm.Print_Area" localSheetId="16">'Reserves 2022'!$A$1:$I$31</definedName>
    <definedName name="_xlnm.Print_Area" localSheetId="19">'Reserves 2023'!$A$1:$I$24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5" i="25" l="1"/>
  <c r="C21" i="26"/>
  <c r="C20" i="26"/>
  <c r="C19" i="26"/>
  <c r="C18" i="26"/>
  <c r="C17" i="26"/>
  <c r="C16" i="26"/>
  <c r="D13" i="26"/>
  <c r="C13" i="26"/>
  <c r="G13" i="26" s="1"/>
  <c r="E12" i="26"/>
  <c r="G12" i="26" s="1"/>
  <c r="H12" i="26" s="1"/>
  <c r="I12" i="26" s="1"/>
  <c r="E11" i="26"/>
  <c r="G11" i="26" s="1"/>
  <c r="H11" i="26" s="1"/>
  <c r="I11" i="26" s="1"/>
  <c r="E10" i="26"/>
  <c r="G10" i="26" s="1"/>
  <c r="H10" i="26" s="1"/>
  <c r="I10" i="26" s="1"/>
  <c r="E9" i="26"/>
  <c r="G9" i="26" s="1"/>
  <c r="H9" i="26" s="1"/>
  <c r="I9" i="26" s="1"/>
  <c r="E8" i="26"/>
  <c r="G8" i="26" s="1"/>
  <c r="H8" i="26" s="1"/>
  <c r="I8" i="26" s="1"/>
  <c r="E7" i="26"/>
  <c r="G7" i="26" s="1"/>
  <c r="H7" i="26" s="1"/>
  <c r="I7" i="26" s="1"/>
  <c r="E6" i="26"/>
  <c r="G6" i="26" s="1"/>
  <c r="H6" i="26" s="1"/>
  <c r="D49" i="25"/>
  <c r="D39" i="25"/>
  <c r="I6" i="26" l="1"/>
  <c r="I13" i="26" s="1"/>
  <c r="H13" i="26"/>
  <c r="D35" i="25"/>
  <c r="D16" i="25"/>
  <c r="D22" i="25" s="1"/>
  <c r="B55" i="25"/>
  <c r="C47" i="25"/>
  <c r="C48" i="25" s="1"/>
  <c r="B48" i="25"/>
  <c r="B44" i="25"/>
  <c r="B39" i="25"/>
  <c r="B33" i="25"/>
  <c r="B22" i="25"/>
  <c r="D48" i="25"/>
  <c r="C45" i="25"/>
  <c r="D44" i="25"/>
  <c r="C44" i="25"/>
  <c r="E42" i="25"/>
  <c r="C39" i="25"/>
  <c r="D33" i="25"/>
  <c r="C33" i="25"/>
  <c r="C22" i="25"/>
  <c r="C7" i="25"/>
  <c r="C11" i="25" s="1"/>
  <c r="D37" i="21"/>
  <c r="D36" i="21"/>
  <c r="D35" i="21"/>
  <c r="D34" i="21"/>
  <c r="D33" i="21"/>
  <c r="D32" i="21"/>
  <c r="C46" i="21"/>
  <c r="F46" i="21" s="1"/>
  <c r="F37" i="21"/>
  <c r="F36" i="21"/>
  <c r="F35" i="21"/>
  <c r="F34" i="21"/>
  <c r="F33" i="21"/>
  <c r="F32" i="21"/>
  <c r="G35" i="21"/>
  <c r="B59" i="21"/>
  <c r="E51" i="21"/>
  <c r="D51" i="21" s="1"/>
  <c r="C51" i="21"/>
  <c r="F51" i="21" s="1"/>
  <c r="E50" i="21"/>
  <c r="D50" i="21" s="1"/>
  <c r="C50" i="21"/>
  <c r="F50" i="21" s="1"/>
  <c r="E49" i="21"/>
  <c r="D49" i="21" s="1"/>
  <c r="C49" i="21"/>
  <c r="F49" i="21" s="1"/>
  <c r="E48" i="21"/>
  <c r="D48" i="21" s="1"/>
  <c r="C48" i="21"/>
  <c r="F48" i="21" s="1"/>
  <c r="E47" i="21"/>
  <c r="D47" i="21" s="1"/>
  <c r="C47" i="21"/>
  <c r="F47" i="21" s="1"/>
  <c r="E46" i="21"/>
  <c r="D46" i="21" s="1"/>
  <c r="H41" i="21"/>
  <c r="H40" i="21"/>
  <c r="D21" i="21"/>
  <c r="C37" i="21"/>
  <c r="C36" i="21"/>
  <c r="C35" i="21"/>
  <c r="C34" i="21"/>
  <c r="C33" i="21"/>
  <c r="C32" i="21"/>
  <c r="F29" i="21"/>
  <c r="F28" i="21"/>
  <c r="D18" i="26" l="1"/>
  <c r="E18" i="26" s="1"/>
  <c r="D16" i="26"/>
  <c r="E16" i="26" s="1"/>
  <c r="D19" i="26"/>
  <c r="E19" i="26" s="1"/>
  <c r="D20" i="26"/>
  <c r="E20" i="26" s="1"/>
  <c r="D17" i="26"/>
  <c r="E17" i="26" s="1"/>
  <c r="D21" i="26"/>
  <c r="E21" i="26" s="1"/>
  <c r="F21" i="26"/>
  <c r="G21" i="26" s="1"/>
  <c r="F16" i="26"/>
  <c r="G16" i="26" s="1"/>
  <c r="F19" i="26"/>
  <c r="G19" i="26" s="1"/>
  <c r="F17" i="26"/>
  <c r="G17" i="26" s="1"/>
  <c r="I14" i="26"/>
  <c r="F18" i="26"/>
  <c r="G18" i="26" s="1"/>
  <c r="F20" i="26"/>
  <c r="G20" i="26" s="1"/>
  <c r="C61" i="25"/>
  <c r="B49" i="25"/>
  <c r="B11" i="25" s="1"/>
  <c r="C49" i="25"/>
  <c r="F52" i="21"/>
  <c r="E26" i="21"/>
  <c r="E25" i="21"/>
  <c r="E24" i="21"/>
  <c r="E23" i="21"/>
  <c r="E22" i="21"/>
  <c r="E21" i="21"/>
  <c r="D26" i="21"/>
  <c r="D25" i="21"/>
  <c r="D24" i="21"/>
  <c r="D23" i="21"/>
  <c r="D22" i="21"/>
  <c r="C26" i="21"/>
  <c r="F26" i="21" s="1"/>
  <c r="C25" i="21"/>
  <c r="C24" i="21"/>
  <c r="C23" i="21"/>
  <c r="F23" i="21" s="1"/>
  <c r="C22" i="21"/>
  <c r="C21" i="21"/>
  <c r="H2" i="21"/>
  <c r="G2" i="21"/>
  <c r="H7" i="21"/>
  <c r="H6" i="21"/>
  <c r="H8" i="21"/>
  <c r="G8" i="21"/>
  <c r="F7" i="21"/>
  <c r="H4" i="21"/>
  <c r="F6" i="21"/>
  <c r="G5" i="21"/>
  <c r="G6" i="21" s="1"/>
  <c r="F5" i="21"/>
  <c r="F4" i="21"/>
  <c r="D4" i="21"/>
  <c r="G4" i="21"/>
  <c r="F25" i="21"/>
  <c r="F24" i="21"/>
  <c r="F22" i="21"/>
  <c r="F21" i="21"/>
  <c r="I12" i="22"/>
  <c r="I11" i="22"/>
  <c r="I10" i="22"/>
  <c r="I9" i="22"/>
  <c r="I8" i="22"/>
  <c r="I7" i="22"/>
  <c r="I6" i="22"/>
  <c r="C50" i="24"/>
  <c r="C20" i="24"/>
  <c r="C23" i="24"/>
  <c r="C30" i="24" s="1"/>
  <c r="C42" i="24"/>
  <c r="C7" i="24" s="1"/>
  <c r="C11" i="24" s="1"/>
  <c r="C41" i="19"/>
  <c r="C10" i="19"/>
  <c r="G28" i="20"/>
  <c r="F32" i="20"/>
  <c r="F31" i="20"/>
  <c r="F30" i="20"/>
  <c r="F29" i="20"/>
  <c r="F28" i="20"/>
  <c r="F27" i="20"/>
  <c r="F26" i="20"/>
  <c r="C43" i="19"/>
  <c r="C22" i="19"/>
  <c r="B45" i="24"/>
  <c r="B41" i="24"/>
  <c r="B36" i="24"/>
  <c r="B30" i="24"/>
  <c r="B20" i="24"/>
  <c r="B11" i="24"/>
  <c r="D45" i="24"/>
  <c r="C45" i="24"/>
  <c r="D41" i="24"/>
  <c r="C41" i="24"/>
  <c r="E39" i="24"/>
  <c r="D36" i="24"/>
  <c r="C36" i="24"/>
  <c r="D30" i="24"/>
  <c r="D20" i="24"/>
  <c r="D13" i="22"/>
  <c r="C13" i="22"/>
  <c r="G13" i="22" s="1"/>
  <c r="E12" i="22"/>
  <c r="G12" i="22" s="1"/>
  <c r="H12" i="22" s="1"/>
  <c r="E11" i="22"/>
  <c r="G11" i="22" s="1"/>
  <c r="H11" i="22" s="1"/>
  <c r="E10" i="22"/>
  <c r="G10" i="22" s="1"/>
  <c r="H10" i="22" s="1"/>
  <c r="E9" i="22"/>
  <c r="G9" i="22" s="1"/>
  <c r="H9" i="22" s="1"/>
  <c r="E8" i="22"/>
  <c r="G8" i="22" s="1"/>
  <c r="H8" i="22" s="1"/>
  <c r="E7" i="22"/>
  <c r="G7" i="22" s="1"/>
  <c r="H7" i="22" s="1"/>
  <c r="E6" i="22"/>
  <c r="G6" i="22" s="1"/>
  <c r="H6" i="22" s="1"/>
  <c r="F17" i="21"/>
  <c r="F16" i="21"/>
  <c r="F15" i="21"/>
  <c r="F14" i="21"/>
  <c r="F13" i="21"/>
  <c r="F12" i="21"/>
  <c r="F19" i="21" s="1"/>
  <c r="E15" i="21"/>
  <c r="H14" i="21"/>
  <c r="G14" i="21"/>
  <c r="E14" i="21"/>
  <c r="H13" i="21"/>
  <c r="G13" i="21"/>
  <c r="E13" i="21"/>
  <c r="E12" i="21"/>
  <c r="I11" i="21"/>
  <c r="C17" i="21"/>
  <c r="D17" i="21" s="1"/>
  <c r="C16" i="21"/>
  <c r="E16" i="21" s="1"/>
  <c r="C15" i="21"/>
  <c r="D15" i="21" s="1"/>
  <c r="C14" i="21"/>
  <c r="C13" i="21"/>
  <c r="C12" i="21"/>
  <c r="D12" i="21" s="1"/>
  <c r="D14" i="21"/>
  <c r="D13" i="21"/>
  <c r="H10" i="20"/>
  <c r="I10" i="20" s="1"/>
  <c r="E10" i="20"/>
  <c r="G10" i="20" s="1"/>
  <c r="D44" i="19"/>
  <c r="D10" i="19"/>
  <c r="B10" i="19"/>
  <c r="B40" i="19"/>
  <c r="B35" i="19"/>
  <c r="B22" i="19"/>
  <c r="B29" i="19" s="1"/>
  <c r="B19" i="19"/>
  <c r="D8" i="21"/>
  <c r="E8" i="21" s="1"/>
  <c r="D7" i="21"/>
  <c r="E7" i="21" s="1"/>
  <c r="D6" i="21"/>
  <c r="E6" i="21" s="1"/>
  <c r="D5" i="21"/>
  <c r="E5" i="21" s="1"/>
  <c r="E4" i="21"/>
  <c r="D3" i="21"/>
  <c r="E3" i="21" s="1"/>
  <c r="D13" i="20"/>
  <c r="C13" i="20"/>
  <c r="G13" i="20" s="1"/>
  <c r="E12" i="20"/>
  <c r="G12" i="20" s="1"/>
  <c r="H12" i="20" s="1"/>
  <c r="I12" i="20" s="1"/>
  <c r="E11" i="20"/>
  <c r="G11" i="20" s="1"/>
  <c r="H11" i="20" s="1"/>
  <c r="I11" i="20" s="1"/>
  <c r="E9" i="20"/>
  <c r="G9" i="20" s="1"/>
  <c r="H9" i="20" s="1"/>
  <c r="I9" i="20" s="1"/>
  <c r="E8" i="20"/>
  <c r="G8" i="20" s="1"/>
  <c r="H8" i="20" s="1"/>
  <c r="I8" i="20" s="1"/>
  <c r="E7" i="20"/>
  <c r="G7" i="20" s="1"/>
  <c r="H7" i="20" s="1"/>
  <c r="I7" i="20" s="1"/>
  <c r="E6" i="20"/>
  <c r="G6" i="20" s="1"/>
  <c r="H6" i="20" s="1"/>
  <c r="C44" i="19"/>
  <c r="D40" i="19"/>
  <c r="C40" i="19"/>
  <c r="E38" i="19"/>
  <c r="D35" i="19"/>
  <c r="C35" i="19"/>
  <c r="C29" i="19"/>
  <c r="D29" i="19"/>
  <c r="D19" i="19"/>
  <c r="C19" i="19"/>
  <c r="O27" i="17"/>
  <c r="O28" i="17"/>
  <c r="O29" i="17"/>
  <c r="O30" i="17"/>
  <c r="O31" i="17"/>
  <c r="O26" i="17"/>
  <c r="M31" i="17"/>
  <c r="M30" i="17"/>
  <c r="M29" i="17"/>
  <c r="M28" i="17"/>
  <c r="M27" i="17"/>
  <c r="M26" i="17"/>
  <c r="D8" i="18"/>
  <c r="D7" i="18"/>
  <c r="E7" i="18" s="1"/>
  <c r="D6" i="18"/>
  <c r="D5" i="18"/>
  <c r="D4" i="18"/>
  <c r="E4" i="18" s="1"/>
  <c r="F31" i="17"/>
  <c r="F30" i="17"/>
  <c r="F29" i="17"/>
  <c r="F28" i="17"/>
  <c r="F27" i="17"/>
  <c r="F26" i="17"/>
  <c r="E31" i="17"/>
  <c r="E30" i="17"/>
  <c r="E29" i="17"/>
  <c r="E28" i="17"/>
  <c r="E27" i="17"/>
  <c r="E26" i="17"/>
  <c r="C31" i="17"/>
  <c r="C30" i="17"/>
  <c r="C29" i="17"/>
  <c r="C28" i="17"/>
  <c r="C27" i="17"/>
  <c r="C26" i="17"/>
  <c r="C20" i="17"/>
  <c r="C19" i="17"/>
  <c r="C18" i="17"/>
  <c r="C17" i="17"/>
  <c r="C16" i="17"/>
  <c r="C15" i="17"/>
  <c r="C52" i="16"/>
  <c r="H52" i="16" s="1"/>
  <c r="C51" i="16"/>
  <c r="H51" i="16" s="1"/>
  <c r="C50" i="16"/>
  <c r="D50" i="16" s="1"/>
  <c r="C49" i="16"/>
  <c r="H49" i="16" s="1"/>
  <c r="D21" i="16"/>
  <c r="D28" i="16" s="1"/>
  <c r="B40" i="16"/>
  <c r="B44" i="16"/>
  <c r="C40" i="16"/>
  <c r="B28" i="16"/>
  <c r="B10" i="16"/>
  <c r="D17" i="18"/>
  <c r="E17" i="18" s="1"/>
  <c r="G17" i="18"/>
  <c r="F17" i="18"/>
  <c r="D16" i="18"/>
  <c r="E16" i="18" s="1"/>
  <c r="G16" i="18"/>
  <c r="F16" i="18"/>
  <c r="D15" i="18"/>
  <c r="E15" i="18" s="1"/>
  <c r="G15" i="18"/>
  <c r="F15" i="18"/>
  <c r="D14" i="18"/>
  <c r="E14" i="18" s="1"/>
  <c r="G14" i="18"/>
  <c r="F14" i="18"/>
  <c r="D13" i="18"/>
  <c r="E13" i="18" s="1"/>
  <c r="G13" i="18"/>
  <c r="F13" i="18"/>
  <c r="I11" i="18"/>
  <c r="C12" i="18"/>
  <c r="D12" i="18"/>
  <c r="G12" i="18" s="1"/>
  <c r="E8" i="18"/>
  <c r="E6" i="18"/>
  <c r="E5" i="18"/>
  <c r="D3" i="18"/>
  <c r="E6" i="17"/>
  <c r="G6" i="17" s="1"/>
  <c r="H6" i="17" s="1"/>
  <c r="E7" i="17"/>
  <c r="G7" i="17" s="1"/>
  <c r="H7" i="17" s="1"/>
  <c r="I7" i="17" s="1"/>
  <c r="E8" i="17"/>
  <c r="G8" i="17" s="1"/>
  <c r="H8" i="17" s="1"/>
  <c r="I8" i="17" s="1"/>
  <c r="E9" i="17"/>
  <c r="G9" i="17" s="1"/>
  <c r="H9" i="17" s="1"/>
  <c r="I9" i="17" s="1"/>
  <c r="E10" i="17"/>
  <c r="G10" i="17" s="1"/>
  <c r="H10" i="17" s="1"/>
  <c r="I10" i="17" s="1"/>
  <c r="E11" i="17"/>
  <c r="G11" i="17" s="1"/>
  <c r="H11" i="17" s="1"/>
  <c r="I11" i="17" s="1"/>
  <c r="C12" i="17"/>
  <c r="G12" i="17"/>
  <c r="D12" i="17"/>
  <c r="H50" i="16"/>
  <c r="D51" i="16"/>
  <c r="D39" i="16"/>
  <c r="D34" i="16"/>
  <c r="D18" i="16"/>
  <c r="C43" i="16"/>
  <c r="C39" i="16"/>
  <c r="C34" i="16"/>
  <c r="C28" i="16"/>
  <c r="C18" i="16"/>
  <c r="B39" i="16"/>
  <c r="B34" i="16"/>
  <c r="B18" i="16"/>
  <c r="B43" i="16"/>
  <c r="E37" i="16"/>
  <c r="C10" i="16"/>
  <c r="B7" i="16"/>
  <c r="H11" i="14"/>
  <c r="H10" i="14"/>
  <c r="H9" i="14"/>
  <c r="H8" i="14"/>
  <c r="H7" i="14"/>
  <c r="H6" i="14"/>
  <c r="E11" i="14"/>
  <c r="E10" i="14"/>
  <c r="E9" i="14"/>
  <c r="E8" i="14"/>
  <c r="E7" i="14"/>
  <c r="C12" i="14"/>
  <c r="E6" i="14"/>
  <c r="E12" i="14"/>
  <c r="I11" i="15"/>
  <c r="C12" i="15"/>
  <c r="D17" i="15"/>
  <c r="E17" i="15"/>
  <c r="D16" i="15"/>
  <c r="E16" i="15"/>
  <c r="D15" i="15"/>
  <c r="E15" i="15"/>
  <c r="D14" i="15"/>
  <c r="E14" i="15"/>
  <c r="D13" i="15"/>
  <c r="E13" i="15"/>
  <c r="D12" i="15"/>
  <c r="E12" i="15"/>
  <c r="G17" i="15"/>
  <c r="G16" i="15"/>
  <c r="G15" i="15"/>
  <c r="G14" i="15"/>
  <c r="G13" i="15"/>
  <c r="G12" i="15"/>
  <c r="F17" i="15"/>
  <c r="F16" i="15"/>
  <c r="F15" i="15"/>
  <c r="F14" i="15"/>
  <c r="F13" i="15"/>
  <c r="F12" i="15"/>
  <c r="D8" i="15"/>
  <c r="F8" i="15"/>
  <c r="D7" i="15"/>
  <c r="F7" i="15"/>
  <c r="D6" i="15"/>
  <c r="F6" i="15"/>
  <c r="D5" i="15"/>
  <c r="F5" i="15"/>
  <c r="D4" i="15"/>
  <c r="F4" i="15"/>
  <c r="D3" i="15"/>
  <c r="F3" i="15"/>
  <c r="E8" i="15"/>
  <c r="E7" i="15"/>
  <c r="E6" i="15"/>
  <c r="E5" i="15"/>
  <c r="E4" i="15"/>
  <c r="E3" i="15"/>
  <c r="C27" i="12"/>
  <c r="D39" i="13"/>
  <c r="D34" i="13"/>
  <c r="D28" i="13"/>
  <c r="D18" i="13"/>
  <c r="D10" i="13"/>
  <c r="C21" i="13"/>
  <c r="C39" i="13"/>
  <c r="C34" i="13"/>
  <c r="C24" i="13"/>
  <c r="C28" i="13"/>
  <c r="C15" i="13"/>
  <c r="C18" i="13"/>
  <c r="B40" i="13"/>
  <c r="B39" i="13"/>
  <c r="B34" i="13"/>
  <c r="B21" i="13"/>
  <c r="B28" i="13"/>
  <c r="B18" i="13"/>
  <c r="B44" i="13"/>
  <c r="B10" i="13"/>
  <c r="B7" i="13"/>
  <c r="B6" i="13"/>
  <c r="B43" i="13"/>
  <c r="C20" i="14"/>
  <c r="C19" i="14"/>
  <c r="C18" i="14"/>
  <c r="C17" i="14"/>
  <c r="C16" i="14"/>
  <c r="C15" i="14"/>
  <c r="D12" i="14"/>
  <c r="C43" i="13"/>
  <c r="D44" i="13"/>
  <c r="E37" i="13"/>
  <c r="C10" i="13"/>
  <c r="C44" i="13"/>
  <c r="C52" i="13"/>
  <c r="C48" i="13"/>
  <c r="C50" i="13"/>
  <c r="C51" i="13"/>
  <c r="C49" i="13"/>
  <c r="C47" i="13"/>
  <c r="G6" i="12"/>
  <c r="H6" i="12"/>
  <c r="G9" i="12"/>
  <c r="H9" i="12"/>
  <c r="I9" i="12"/>
  <c r="G7" i="12"/>
  <c r="H7" i="12"/>
  <c r="I7" i="12"/>
  <c r="D18" i="11"/>
  <c r="D36" i="11"/>
  <c r="D41" i="11"/>
  <c r="D45" i="11"/>
  <c r="C41" i="11"/>
  <c r="E39" i="11"/>
  <c r="B45" i="11"/>
  <c r="B41" i="11"/>
  <c r="B36" i="11"/>
  <c r="B21" i="11"/>
  <c r="B29" i="11"/>
  <c r="B18" i="11"/>
  <c r="B46" i="11"/>
  <c r="B10" i="11"/>
  <c r="C11" i="12"/>
  <c r="G11" i="12"/>
  <c r="D11" i="12"/>
  <c r="E10" i="12"/>
  <c r="G10" i="12"/>
  <c r="H10" i="12"/>
  <c r="I10" i="12"/>
  <c r="E8" i="12"/>
  <c r="G8" i="12"/>
  <c r="H8" i="12"/>
  <c r="I8" i="12"/>
  <c r="C45" i="11"/>
  <c r="C46" i="11"/>
  <c r="C36" i="11"/>
  <c r="C29" i="11"/>
  <c r="D21" i="11"/>
  <c r="D29" i="11"/>
  <c r="C18" i="11"/>
  <c r="C10" i="11"/>
  <c r="D21" i="9"/>
  <c r="C38" i="9"/>
  <c r="C36" i="9"/>
  <c r="C14" i="9"/>
  <c r="C15" i="9"/>
  <c r="C9" i="9"/>
  <c r="C6" i="9"/>
  <c r="C10" i="9"/>
  <c r="E6" i="10"/>
  <c r="G6" i="10"/>
  <c r="H6" i="10"/>
  <c r="E7" i="10"/>
  <c r="G7" i="10"/>
  <c r="H7" i="10"/>
  <c r="I7" i="10"/>
  <c r="E8" i="10"/>
  <c r="G8" i="10"/>
  <c r="H8" i="10"/>
  <c r="I8" i="10"/>
  <c r="E9" i="10"/>
  <c r="G9" i="10"/>
  <c r="H9" i="10"/>
  <c r="I9" i="10"/>
  <c r="E10" i="10"/>
  <c r="G10" i="10"/>
  <c r="H10" i="10"/>
  <c r="I10" i="10"/>
  <c r="C11" i="10"/>
  <c r="G11" i="10"/>
  <c r="D11" i="10"/>
  <c r="D45" i="9"/>
  <c r="D41" i="9"/>
  <c r="D36" i="9"/>
  <c r="D29" i="9"/>
  <c r="D18" i="9"/>
  <c r="C45" i="9"/>
  <c r="C41" i="9"/>
  <c r="C42" i="9"/>
  <c r="D6" i="7"/>
  <c r="D10" i="7"/>
  <c r="C41" i="7"/>
  <c r="C35" i="7"/>
  <c r="C28" i="7"/>
  <c r="D11" i="8"/>
  <c r="C11" i="8"/>
  <c r="G11" i="8"/>
  <c r="E10" i="8"/>
  <c r="G10" i="8"/>
  <c r="H10" i="8"/>
  <c r="I10" i="8"/>
  <c r="E9" i="8"/>
  <c r="G9" i="8"/>
  <c r="H9" i="8"/>
  <c r="I9" i="8"/>
  <c r="E8" i="8"/>
  <c r="G8" i="8"/>
  <c r="H8" i="8"/>
  <c r="I8" i="8"/>
  <c r="E7" i="8"/>
  <c r="G7" i="8"/>
  <c r="H7" i="8"/>
  <c r="I7" i="8"/>
  <c r="E6" i="8"/>
  <c r="G6" i="8"/>
  <c r="H6" i="8"/>
  <c r="D44" i="7"/>
  <c r="C44" i="7"/>
  <c r="B44" i="7"/>
  <c r="D40" i="7"/>
  <c r="C40" i="7"/>
  <c r="B40" i="7"/>
  <c r="D35" i="7"/>
  <c r="B35" i="7"/>
  <c r="D28" i="7"/>
  <c r="B28" i="7"/>
  <c r="D19" i="7"/>
  <c r="C19" i="7"/>
  <c r="B19" i="7"/>
  <c r="C10" i="7"/>
  <c r="B10" i="7"/>
  <c r="C19" i="6"/>
  <c r="C18" i="6"/>
  <c r="C17" i="6"/>
  <c r="C16" i="6"/>
  <c r="C15" i="6"/>
  <c r="C14" i="6"/>
  <c r="F51" i="5"/>
  <c r="E53" i="5"/>
  <c r="F53" i="5"/>
  <c r="E52" i="5"/>
  <c r="F52" i="5"/>
  <c r="E51" i="5"/>
  <c r="E50" i="5"/>
  <c r="F50" i="5"/>
  <c r="E49" i="5"/>
  <c r="F49" i="5"/>
  <c r="E48" i="5"/>
  <c r="F48" i="5"/>
  <c r="F54" i="5"/>
  <c r="L13" i="3"/>
  <c r="D44" i="5"/>
  <c r="C44" i="5"/>
  <c r="C45" i="5"/>
  <c r="B44" i="5"/>
  <c r="C41" i="5"/>
  <c r="C36" i="5"/>
  <c r="D29" i="5"/>
  <c r="C29" i="5"/>
  <c r="B29" i="5"/>
  <c r="D19" i="5"/>
  <c r="C19" i="5"/>
  <c r="B19" i="5"/>
  <c r="B34" i="5"/>
  <c r="B36" i="5"/>
  <c r="B40" i="5"/>
  <c r="B41" i="5"/>
  <c r="B45" i="5"/>
  <c r="B9" i="5"/>
  <c r="D11" i="6"/>
  <c r="C11" i="6"/>
  <c r="G11" i="6"/>
  <c r="E10" i="6"/>
  <c r="G10" i="6"/>
  <c r="E9" i="6"/>
  <c r="G9" i="6"/>
  <c r="E8" i="6"/>
  <c r="G8" i="6"/>
  <c r="J8" i="6"/>
  <c r="E7" i="6"/>
  <c r="G7" i="6"/>
  <c r="K6" i="6"/>
  <c r="E6" i="6"/>
  <c r="G6" i="6"/>
  <c r="K5" i="6"/>
  <c r="D36" i="5"/>
  <c r="D41" i="5"/>
  <c r="D45" i="5"/>
  <c r="D9" i="5"/>
  <c r="C9" i="5"/>
  <c r="C8" i="4"/>
  <c r="D8" i="4"/>
  <c r="C7" i="4"/>
  <c r="D7" i="4"/>
  <c r="C6" i="4"/>
  <c r="D6" i="4"/>
  <c r="C5" i="4"/>
  <c r="D5" i="4"/>
  <c r="C4" i="4"/>
  <c r="D4" i="4"/>
  <c r="C3" i="4"/>
  <c r="D3" i="4"/>
  <c r="E10" i="3"/>
  <c r="G10" i="3"/>
  <c r="H10" i="3"/>
  <c r="I10" i="3"/>
  <c r="E9" i="3"/>
  <c r="G9" i="3"/>
  <c r="H9" i="3"/>
  <c r="I9" i="3"/>
  <c r="E8" i="3"/>
  <c r="G8" i="3"/>
  <c r="H8" i="3"/>
  <c r="I8" i="3"/>
  <c r="E7" i="3"/>
  <c r="G7" i="3"/>
  <c r="H7" i="3"/>
  <c r="I7" i="3"/>
  <c r="E6" i="3"/>
  <c r="G6" i="3"/>
  <c r="H6" i="3"/>
  <c r="I6" i="3"/>
  <c r="K6" i="3"/>
  <c r="K5" i="3"/>
  <c r="K8" i="3"/>
  <c r="D11" i="3"/>
  <c r="C11" i="3"/>
  <c r="G11" i="3"/>
  <c r="H8" i="6"/>
  <c r="I8" i="6"/>
  <c r="H53" i="5"/>
  <c r="H50" i="5"/>
  <c r="H48" i="5"/>
  <c r="H52" i="5"/>
  <c r="H54" i="5"/>
  <c r="H49" i="5"/>
  <c r="H51" i="5"/>
  <c r="D29" i="2"/>
  <c r="D28" i="2"/>
  <c r="D37" i="2"/>
  <c r="C35" i="2"/>
  <c r="C37" i="2"/>
  <c r="C21" i="2"/>
  <c r="D9" i="2"/>
  <c r="C9" i="2"/>
  <c r="B37" i="2"/>
  <c r="G35" i="1"/>
  <c r="G36" i="1"/>
  <c r="G37" i="1"/>
  <c r="G38" i="1"/>
  <c r="G39" i="1"/>
  <c r="G28" i="1"/>
  <c r="G30" i="1"/>
  <c r="B6" i="2"/>
  <c r="B9" i="2"/>
  <c r="J41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47" i="1"/>
  <c r="J47" i="1"/>
  <c r="K47" i="1"/>
  <c r="K54" i="1"/>
  <c r="K56" i="1"/>
  <c r="H41" i="1"/>
  <c r="C45" i="7"/>
  <c r="D46" i="9"/>
  <c r="C50" i="9"/>
  <c r="G41" i="1"/>
  <c r="K8" i="6"/>
  <c r="J10" i="6"/>
  <c r="H10" i="6"/>
  <c r="I10" i="6"/>
  <c r="D45" i="7"/>
  <c r="B45" i="7"/>
  <c r="C29" i="9"/>
  <c r="C18" i="9"/>
  <c r="C46" i="9"/>
  <c r="C49" i="9"/>
  <c r="C14" i="10"/>
  <c r="C53" i="9"/>
  <c r="C18" i="10"/>
  <c r="C48" i="7"/>
  <c r="C52" i="7"/>
  <c r="C50" i="7"/>
  <c r="C53" i="7"/>
  <c r="C19" i="8"/>
  <c r="C49" i="7"/>
  <c r="C51" i="7"/>
  <c r="H53" i="9"/>
  <c r="H51" i="7"/>
  <c r="C17" i="8"/>
  <c r="C18" i="8"/>
  <c r="H52" i="7"/>
  <c r="C16" i="8"/>
  <c r="H50" i="7"/>
  <c r="H49" i="7"/>
  <c r="C15" i="8"/>
  <c r="H48" i="7"/>
  <c r="C14" i="8"/>
  <c r="H52" i="13"/>
  <c r="D52" i="13"/>
  <c r="D51" i="13"/>
  <c r="H51" i="13"/>
  <c r="H50" i="13"/>
  <c r="D50" i="13"/>
  <c r="D49" i="13"/>
  <c r="H49" i="13"/>
  <c r="D47" i="13"/>
  <c r="D48" i="13"/>
  <c r="D53" i="13"/>
  <c r="H47" i="13"/>
  <c r="H48" i="13"/>
  <c r="H53" i="13"/>
  <c r="H6" i="6"/>
  <c r="J6" i="6"/>
  <c r="H7" i="6"/>
  <c r="I7" i="6"/>
  <c r="J7" i="6"/>
  <c r="J9" i="6"/>
  <c r="H9" i="6"/>
  <c r="I9" i="6"/>
  <c r="I6" i="8"/>
  <c r="I11" i="8"/>
  <c r="H11" i="8"/>
  <c r="H53" i="7"/>
  <c r="H54" i="7"/>
  <c r="C15" i="10"/>
  <c r="H50" i="9"/>
  <c r="D50" i="9"/>
  <c r="I11" i="3"/>
  <c r="C42" i="2"/>
  <c r="H42" i="2"/>
  <c r="C45" i="2"/>
  <c r="H45" i="2"/>
  <c r="C40" i="2"/>
  <c r="H40" i="2"/>
  <c r="H46" i="2"/>
  <c r="C41" i="2"/>
  <c r="H41" i="2"/>
  <c r="C43" i="2"/>
  <c r="H43" i="2"/>
  <c r="C44" i="2"/>
  <c r="H44" i="2"/>
  <c r="I6" i="10"/>
  <c r="I11" i="10"/>
  <c r="H11" i="10"/>
  <c r="I6" i="12"/>
  <c r="I11" i="12"/>
  <c r="H11" i="12"/>
  <c r="D49" i="9"/>
  <c r="C51" i="9"/>
  <c r="C52" i="9"/>
  <c r="H11" i="3"/>
  <c r="H49" i="9"/>
  <c r="C54" i="9"/>
  <c r="D53" i="9"/>
  <c r="F15" i="10"/>
  <c r="F14" i="10"/>
  <c r="G14" i="10"/>
  <c r="F16" i="10"/>
  <c r="F18" i="10"/>
  <c r="G18" i="10"/>
  <c r="F17" i="10"/>
  <c r="F19" i="10"/>
  <c r="D18" i="8"/>
  <c r="E18" i="8"/>
  <c r="D19" i="8"/>
  <c r="E19" i="8"/>
  <c r="D17" i="8"/>
  <c r="E17" i="8"/>
  <c r="D15" i="8"/>
  <c r="E15" i="8"/>
  <c r="D14" i="8"/>
  <c r="E14" i="8"/>
  <c r="D16" i="8"/>
  <c r="E16" i="8"/>
  <c r="D18" i="3"/>
  <c r="E18" i="3"/>
  <c r="D17" i="3"/>
  <c r="E17" i="3"/>
  <c r="D15" i="3"/>
  <c r="E15" i="3"/>
  <c r="D19" i="3"/>
  <c r="E19" i="3"/>
  <c r="D14" i="3"/>
  <c r="E14" i="3"/>
  <c r="D16" i="3"/>
  <c r="E16" i="3"/>
  <c r="C17" i="10"/>
  <c r="H52" i="9"/>
  <c r="D52" i="9"/>
  <c r="D42" i="11"/>
  <c r="D46" i="11"/>
  <c r="D10" i="11"/>
  <c r="F15" i="12"/>
  <c r="F14" i="12"/>
  <c r="F16" i="12"/>
  <c r="F19" i="12"/>
  <c r="F18" i="12"/>
  <c r="F17" i="12"/>
  <c r="G15" i="10"/>
  <c r="D54" i="9"/>
  <c r="C19" i="10"/>
  <c r="H54" i="9"/>
  <c r="H51" i="9"/>
  <c r="D51" i="9"/>
  <c r="D55" i="9"/>
  <c r="D6" i="9"/>
  <c r="D10" i="9"/>
  <c r="C16" i="10"/>
  <c r="I13" i="10"/>
  <c r="D17" i="10"/>
  <c r="D18" i="10"/>
  <c r="E18" i="10"/>
  <c r="D19" i="10"/>
  <c r="D14" i="10"/>
  <c r="E14" i="10"/>
  <c r="D16" i="10"/>
  <c r="D15" i="10"/>
  <c r="E15" i="10"/>
  <c r="F18" i="3"/>
  <c r="G18" i="3"/>
  <c r="F17" i="3"/>
  <c r="G17" i="3"/>
  <c r="F16" i="3"/>
  <c r="G16" i="3"/>
  <c r="F14" i="3"/>
  <c r="G14" i="3"/>
  <c r="F19" i="3"/>
  <c r="G19" i="3"/>
  <c r="F15" i="3"/>
  <c r="G15" i="3"/>
  <c r="J11" i="6"/>
  <c r="H55" i="9"/>
  <c r="I6" i="6"/>
  <c r="I11" i="6"/>
  <c r="H11" i="6"/>
  <c r="I13" i="12"/>
  <c r="D7" i="11"/>
  <c r="D16" i="12"/>
  <c r="D19" i="12"/>
  <c r="D18" i="12"/>
  <c r="D17" i="12"/>
  <c r="D14" i="12"/>
  <c r="D15" i="12"/>
  <c r="F18" i="8"/>
  <c r="G18" i="8"/>
  <c r="F16" i="8"/>
  <c r="G16" i="8"/>
  <c r="F14" i="8"/>
  <c r="G14" i="8"/>
  <c r="F15" i="8"/>
  <c r="G15" i="8"/>
  <c r="F19" i="8"/>
  <c r="G19" i="8"/>
  <c r="F17" i="8"/>
  <c r="G17" i="8"/>
  <c r="G16" i="10"/>
  <c r="E16" i="10"/>
  <c r="G19" i="10"/>
  <c r="E19" i="10"/>
  <c r="G17" i="10"/>
  <c r="E17" i="10"/>
  <c r="D14" i="6"/>
  <c r="D15" i="6"/>
  <c r="D17" i="6"/>
  <c r="D19" i="6"/>
  <c r="D18" i="6"/>
  <c r="D16" i="6"/>
  <c r="H15" i="6"/>
  <c r="I15" i="6"/>
  <c r="H18" i="6"/>
  <c r="I18" i="6"/>
  <c r="H17" i="6"/>
  <c r="I17" i="6"/>
  <c r="H16" i="6"/>
  <c r="I16" i="6"/>
  <c r="H14" i="6"/>
  <c r="I14" i="6"/>
  <c r="H19" i="6"/>
  <c r="I19" i="6"/>
  <c r="D6" i="11"/>
  <c r="F16" i="6"/>
  <c r="G16" i="6"/>
  <c r="F17" i="6"/>
  <c r="G17" i="6"/>
  <c r="F15" i="6"/>
  <c r="G15" i="6"/>
  <c r="F14" i="6"/>
  <c r="G14" i="6"/>
  <c r="F18" i="6"/>
  <c r="G18" i="6"/>
  <c r="F19" i="6"/>
  <c r="G19" i="6"/>
  <c r="C53" i="11"/>
  <c r="C51" i="11"/>
  <c r="C49" i="11"/>
  <c r="C54" i="11"/>
  <c r="C52" i="11"/>
  <c r="C50" i="11"/>
  <c r="C19" i="12"/>
  <c r="D54" i="11"/>
  <c r="H54" i="11"/>
  <c r="C14" i="12"/>
  <c r="D49" i="11"/>
  <c r="H49" i="11"/>
  <c r="H50" i="11"/>
  <c r="C15" i="12"/>
  <c r="D50" i="11"/>
  <c r="D51" i="11"/>
  <c r="H51" i="11"/>
  <c r="C16" i="12"/>
  <c r="D52" i="11"/>
  <c r="H52" i="11"/>
  <c r="C17" i="12"/>
  <c r="H53" i="11"/>
  <c r="C18" i="12"/>
  <c r="D53" i="11"/>
  <c r="E14" i="12"/>
  <c r="G14" i="12"/>
  <c r="E15" i="12"/>
  <c r="G15" i="12"/>
  <c r="E16" i="12"/>
  <c r="G16" i="12"/>
  <c r="E17" i="12"/>
  <c r="G17" i="12"/>
  <c r="H55" i="11"/>
  <c r="G18" i="12"/>
  <c r="E18" i="12"/>
  <c r="D55" i="11"/>
  <c r="G19" i="12"/>
  <c r="E19" i="12"/>
  <c r="G6" i="14"/>
  <c r="I6" i="14"/>
  <c r="G7" i="14"/>
  <c r="I7" i="14"/>
  <c r="G8" i="14"/>
  <c r="I8" i="14"/>
  <c r="G9" i="14"/>
  <c r="I9" i="14"/>
  <c r="G10" i="14"/>
  <c r="I10" i="14"/>
  <c r="G11" i="14"/>
  <c r="I11" i="14"/>
  <c r="G12" i="14"/>
  <c r="H12" i="14"/>
  <c r="I12" i="14"/>
  <c r="I13" i="14"/>
  <c r="D15" i="14"/>
  <c r="E15" i="14"/>
  <c r="F15" i="14"/>
  <c r="G15" i="14"/>
  <c r="D16" i="14"/>
  <c r="E16" i="14"/>
  <c r="F16" i="14"/>
  <c r="G16" i="14"/>
  <c r="D17" i="14"/>
  <c r="E17" i="14"/>
  <c r="F17" i="14"/>
  <c r="G17" i="14"/>
  <c r="D18" i="14"/>
  <c r="E18" i="14"/>
  <c r="F18" i="14"/>
  <c r="G18" i="14"/>
  <c r="D19" i="14"/>
  <c r="E19" i="14"/>
  <c r="F19" i="14"/>
  <c r="G19" i="14"/>
  <c r="D20" i="14"/>
  <c r="E20" i="14"/>
  <c r="F20" i="14"/>
  <c r="G20" i="14"/>
  <c r="C57" i="25" l="1"/>
  <c r="D57" i="25" s="1"/>
  <c r="C60" i="25"/>
  <c r="H60" i="25" s="1"/>
  <c r="C58" i="25"/>
  <c r="D58" i="25" s="1"/>
  <c r="C59" i="25"/>
  <c r="H59" i="25" s="1"/>
  <c r="D6" i="25"/>
  <c r="D11" i="25" s="1"/>
  <c r="C62" i="25"/>
  <c r="H62" i="25" s="1"/>
  <c r="H61" i="25"/>
  <c r="D61" i="25"/>
  <c r="F27" i="21"/>
  <c r="B46" i="24"/>
  <c r="D46" i="24"/>
  <c r="C46" i="24"/>
  <c r="H13" i="22"/>
  <c r="I13" i="22"/>
  <c r="H16" i="21"/>
  <c r="H17" i="21"/>
  <c r="E17" i="21"/>
  <c r="D16" i="21"/>
  <c r="G12" i="21"/>
  <c r="H12" i="21"/>
  <c r="G15" i="21"/>
  <c r="H15" i="21"/>
  <c r="G16" i="21"/>
  <c r="G17" i="21"/>
  <c r="D18" i="21"/>
  <c r="H13" i="20"/>
  <c r="B45" i="19"/>
  <c r="I6" i="20"/>
  <c r="I13" i="20" s="1"/>
  <c r="D45" i="19"/>
  <c r="C45" i="19"/>
  <c r="E12" i="18"/>
  <c r="F12" i="18"/>
  <c r="E3" i="18"/>
  <c r="I6" i="17"/>
  <c r="I12" i="17" s="1"/>
  <c r="H12" i="17"/>
  <c r="D52" i="16"/>
  <c r="D49" i="16"/>
  <c r="D44" i="16"/>
  <c r="D10" i="16" s="1"/>
  <c r="C44" i="16"/>
  <c r="D59" i="25" l="1"/>
  <c r="D60" i="25"/>
  <c r="H57" i="25"/>
  <c r="H58" i="25"/>
  <c r="D62" i="25"/>
  <c r="C53" i="24"/>
  <c r="C17" i="22" s="1"/>
  <c r="D6" i="24"/>
  <c r="D11" i="24" s="1"/>
  <c r="C54" i="24"/>
  <c r="C57" i="24"/>
  <c r="C56" i="24"/>
  <c r="C52" i="24"/>
  <c r="C55" i="24"/>
  <c r="F18" i="22"/>
  <c r="F21" i="22"/>
  <c r="F19" i="22"/>
  <c r="F16" i="22"/>
  <c r="F17" i="22"/>
  <c r="I14" i="22"/>
  <c r="F20" i="22"/>
  <c r="D20" i="22"/>
  <c r="D16" i="22"/>
  <c r="D18" i="22"/>
  <c r="D21" i="22"/>
  <c r="D19" i="22"/>
  <c r="D17" i="22"/>
  <c r="C48" i="19"/>
  <c r="C53" i="19"/>
  <c r="C52" i="19"/>
  <c r="C49" i="19"/>
  <c r="C51" i="19"/>
  <c r="C50" i="19"/>
  <c r="F21" i="20"/>
  <c r="F20" i="20"/>
  <c r="F19" i="20"/>
  <c r="F18" i="20"/>
  <c r="F17" i="20"/>
  <c r="F16" i="20"/>
  <c r="I14" i="20"/>
  <c r="D21" i="20"/>
  <c r="D20" i="20"/>
  <c r="D19" i="20"/>
  <c r="D18" i="20"/>
  <c r="D17" i="20"/>
  <c r="D16" i="20"/>
  <c r="D17" i="17"/>
  <c r="E17" i="17" s="1"/>
  <c r="D16" i="17"/>
  <c r="E16" i="17" s="1"/>
  <c r="D19" i="17"/>
  <c r="E19" i="17" s="1"/>
  <c r="D20" i="17"/>
  <c r="E20" i="17" s="1"/>
  <c r="D18" i="17"/>
  <c r="E18" i="17" s="1"/>
  <c r="D15" i="17"/>
  <c r="E15" i="17" s="1"/>
  <c r="F19" i="17"/>
  <c r="G19" i="17" s="1"/>
  <c r="F16" i="17"/>
  <c r="G16" i="17" s="1"/>
  <c r="F18" i="17"/>
  <c r="G18" i="17" s="1"/>
  <c r="F20" i="17"/>
  <c r="G20" i="17" s="1"/>
  <c r="F15" i="17"/>
  <c r="G15" i="17" s="1"/>
  <c r="I13" i="17"/>
  <c r="F17" i="17"/>
  <c r="G17" i="17" s="1"/>
  <c r="C48" i="16"/>
  <c r="C47" i="16"/>
  <c r="D63" i="25" l="1"/>
  <c r="H63" i="25"/>
  <c r="H55" i="24"/>
  <c r="C19" i="22"/>
  <c r="H54" i="24"/>
  <c r="C18" i="22"/>
  <c r="H53" i="24"/>
  <c r="D53" i="24"/>
  <c r="D52" i="24"/>
  <c r="C16" i="22"/>
  <c r="D56" i="24"/>
  <c r="C20" i="22"/>
  <c r="H57" i="24"/>
  <c r="C21" i="22"/>
  <c r="D55" i="24"/>
  <c r="D54" i="24"/>
  <c r="H56" i="24"/>
  <c r="H52" i="24"/>
  <c r="D57" i="24"/>
  <c r="C19" i="20"/>
  <c r="E19" i="20" s="1"/>
  <c r="G19" i="22"/>
  <c r="C18" i="20"/>
  <c r="G18" i="20" s="1"/>
  <c r="C20" i="20"/>
  <c r="E20" i="20" s="1"/>
  <c r="G20" i="22"/>
  <c r="C21" i="20"/>
  <c r="E21" i="20" s="1"/>
  <c r="C16" i="20"/>
  <c r="E16" i="20" s="1"/>
  <c r="C17" i="20"/>
  <c r="E17" i="20" s="1"/>
  <c r="G17" i="22"/>
  <c r="H48" i="19"/>
  <c r="D48" i="19"/>
  <c r="H49" i="19"/>
  <c r="D49" i="19"/>
  <c r="H50" i="19"/>
  <c r="D50" i="19"/>
  <c r="H51" i="19"/>
  <c r="D51" i="19"/>
  <c r="H52" i="19"/>
  <c r="D52" i="19"/>
  <c r="H53" i="19"/>
  <c r="D53" i="19"/>
  <c r="H47" i="16"/>
  <c r="H53" i="16" s="1"/>
  <c r="D47" i="16"/>
  <c r="D53" i="16" s="1"/>
  <c r="H48" i="16"/>
  <c r="D48" i="16"/>
  <c r="E16" i="22" l="1"/>
  <c r="G21" i="22"/>
  <c r="E18" i="22"/>
  <c r="H58" i="24"/>
  <c r="D58" i="24"/>
  <c r="E17" i="22"/>
  <c r="G21" i="20"/>
  <c r="G20" i="20"/>
  <c r="G19" i="20"/>
  <c r="G16" i="20"/>
  <c r="G17" i="20"/>
  <c r="E20" i="22"/>
  <c r="G16" i="22"/>
  <c r="E21" i="22"/>
  <c r="E18" i="20"/>
  <c r="G18" i="22"/>
  <c r="E19" i="22"/>
  <c r="D54" i="19"/>
  <c r="H54" i="19"/>
</calcChain>
</file>

<file path=xl/sharedStrings.xml><?xml version="1.0" encoding="utf-8"?>
<sst xmlns="http://schemas.openxmlformats.org/spreadsheetml/2006/main" count="1219" uniqueCount="225">
  <si>
    <t>Island Breeze Condominuim Budget 2015</t>
  </si>
  <si>
    <t>Office Supplies</t>
  </si>
  <si>
    <t>Postage and Delivery</t>
  </si>
  <si>
    <t>Maintenance &amp; Repair</t>
  </si>
  <si>
    <t>Fire Sprinkler Service &amp; Repair</t>
  </si>
  <si>
    <t>Elevator Service &amp; Repairs</t>
  </si>
  <si>
    <t xml:space="preserve">Lawn Maintenance </t>
  </si>
  <si>
    <t>Gardening</t>
  </si>
  <si>
    <t>Cleaning</t>
  </si>
  <si>
    <t>Plumbing</t>
  </si>
  <si>
    <t>Fire Alarm Montering &amp; Service</t>
  </si>
  <si>
    <t>Building Supplies</t>
  </si>
  <si>
    <t>Electricity</t>
  </si>
  <si>
    <t>Water &amp; Sanitation</t>
  </si>
  <si>
    <t>Telephone Fire &amp; Elevator Alarm</t>
  </si>
  <si>
    <t>Pool Service</t>
  </si>
  <si>
    <t>Bank Charges</t>
  </si>
  <si>
    <t>Fees &amp; Permits (Annual Condo &amp; Corp Renewal)</t>
  </si>
  <si>
    <t>Hazard &amp; Liability Insurance</t>
  </si>
  <si>
    <t>Flood Insurance</t>
  </si>
  <si>
    <t>Windstorm Insurance</t>
  </si>
  <si>
    <t>Management Fees</t>
  </si>
  <si>
    <t>Other Operating Expenses</t>
  </si>
  <si>
    <t>Total Operating Expenses</t>
  </si>
  <si>
    <t>Total Expenses</t>
  </si>
  <si>
    <t>Reserves</t>
  </si>
  <si>
    <t>Roof</t>
  </si>
  <si>
    <t>Painting</t>
  </si>
  <si>
    <t>Elevator</t>
  </si>
  <si>
    <t>Pavement</t>
  </si>
  <si>
    <t>Pool</t>
  </si>
  <si>
    <t>Total Reserves</t>
  </si>
  <si>
    <t>Total Annual Expenses &amp; Reserves</t>
  </si>
  <si>
    <t>Units 201, 205, 301, 305, 401, 405</t>
  </si>
  <si>
    <t>Units 202, 204, 302, 304, 402, 404</t>
  </si>
  <si>
    <t>Units 203, 303, 403</t>
  </si>
  <si>
    <t>Unit 501</t>
  </si>
  <si>
    <t>Unit 502</t>
  </si>
  <si>
    <t>Unit 503</t>
  </si>
  <si>
    <t>Amount</t>
  </si>
  <si>
    <t>Years</t>
  </si>
  <si>
    <t>Unit Dues</t>
  </si>
  <si>
    <t>Percentage</t>
  </si>
  <si>
    <t>Proposed Increase for 2015</t>
  </si>
  <si>
    <t>Total Yearly Income from Dues</t>
  </si>
  <si>
    <t>Yearly Income for 2015</t>
  </si>
  <si>
    <t>Funds Available for Reserves</t>
  </si>
  <si>
    <t>Amount 2015</t>
  </si>
  <si>
    <t>Expenses 2015</t>
  </si>
  <si>
    <t>Monthly Reserves</t>
  </si>
  <si>
    <t>Monthly Dues 2014</t>
  </si>
  <si>
    <t>New Monthly Dues for 2015</t>
  </si>
  <si>
    <t>Accumulated Yearly Reserves 2015</t>
  </si>
  <si>
    <t>Approved Budget</t>
  </si>
  <si>
    <t>Estimated</t>
  </si>
  <si>
    <t xml:space="preserve">Proposed Budget </t>
  </si>
  <si>
    <t>Income</t>
  </si>
  <si>
    <t>Maintenance Fees</t>
  </si>
  <si>
    <t>Late Fees</t>
  </si>
  <si>
    <t>Interest Income</t>
  </si>
  <si>
    <t xml:space="preserve">Total Income </t>
  </si>
  <si>
    <t>Tree Trimming</t>
  </si>
  <si>
    <t>Gardening/Projects</t>
  </si>
  <si>
    <t>Accounting</t>
  </si>
  <si>
    <t>Legal Expense</t>
  </si>
  <si>
    <t>% breakdown per Unit</t>
  </si>
  <si>
    <t>Gates/Door/Callbox Repairs</t>
  </si>
  <si>
    <t>Unit Per Month without reserves</t>
  </si>
  <si>
    <t>Reserves 2016</t>
  </si>
  <si>
    <t>Item</t>
  </si>
  <si>
    <t>% Per Each</t>
  </si>
  <si>
    <t xml:space="preserve">Money in </t>
  </si>
  <si>
    <t>Years left</t>
  </si>
  <si>
    <t xml:space="preserve">Amount </t>
  </si>
  <si>
    <t>Required</t>
  </si>
  <si>
    <t>Life</t>
  </si>
  <si>
    <t>Cost</t>
  </si>
  <si>
    <t>Reserve</t>
  </si>
  <si>
    <t xml:space="preserve">for </t>
  </si>
  <si>
    <t>2016 Budget</t>
  </si>
  <si>
    <t>Account</t>
  </si>
  <si>
    <t>Replacement</t>
  </si>
  <si>
    <t>for Life</t>
  </si>
  <si>
    <t>Full Reserves</t>
  </si>
  <si>
    <t>Partial Reserves 70%</t>
  </si>
  <si>
    <t>Paving/Maintenance</t>
  </si>
  <si>
    <t>Total</t>
  </si>
  <si>
    <t>Full Reserves without maintenance</t>
  </si>
  <si>
    <t>Full reserves with maintenance</t>
  </si>
  <si>
    <t>Partial Reserves without maintenance</t>
  </si>
  <si>
    <t>Partial Reserves with Maintenance</t>
  </si>
  <si>
    <t>*The Florida Statues require the Board of Directors to adopt a budget with full reserves.  The unit owners at a duly called meeting, may vote against the funding of full reserves or may opt to vote for reserves "less than adequate", (Partial Reserves)</t>
  </si>
  <si>
    <t>Unit 505</t>
  </si>
  <si>
    <t>Assessment for Elevator at $6000.00</t>
  </si>
  <si>
    <t>Breakdown into 2 payments</t>
  </si>
  <si>
    <t>January 1, 2016 to December 31, 2016</t>
  </si>
  <si>
    <t>Island Breeze Condominuim Budget 2016</t>
  </si>
  <si>
    <t>Island Breeze Condominuim Budget 2017</t>
  </si>
  <si>
    <t>January 1, 2017 to December 31, 2017</t>
  </si>
  <si>
    <t xml:space="preserve">Approved Budget </t>
  </si>
  <si>
    <t>Expenses 2016</t>
  </si>
  <si>
    <t>2017</t>
  </si>
  <si>
    <t xml:space="preserve">Expenses </t>
  </si>
  <si>
    <t>General Expenses</t>
  </si>
  <si>
    <t>Building Expenses</t>
  </si>
  <si>
    <t>Backflow Expense</t>
  </si>
  <si>
    <t>Grounds Expenses:</t>
  </si>
  <si>
    <t>Utility Expenses:</t>
  </si>
  <si>
    <t>Insurance Expenses</t>
  </si>
  <si>
    <t>Total General Expenses:</t>
  </si>
  <si>
    <t>Total Building Expenses:</t>
  </si>
  <si>
    <t xml:space="preserve">Total Grounds Expenses:  </t>
  </si>
  <si>
    <t>Total Utility Expenses:</t>
  </si>
  <si>
    <t xml:space="preserve">Total Insurance Expenses:  </t>
  </si>
  <si>
    <t>Irrigation Expense</t>
  </si>
  <si>
    <t>Insurance Package</t>
  </si>
  <si>
    <t>Reserves 2017</t>
  </si>
  <si>
    <t>2017 Budget</t>
  </si>
  <si>
    <t>Partial Reserves 50%</t>
  </si>
  <si>
    <t>Partial Reserves with Maintenance at 50%</t>
  </si>
  <si>
    <t>Partial Reserves with Maintenance at 70%</t>
  </si>
  <si>
    <t>Partial Reserves 50% without maintenance</t>
  </si>
  <si>
    <t>Partial Reserves 70% without maintenance</t>
  </si>
  <si>
    <t>Unit Per Month with reserves</t>
  </si>
  <si>
    <t>used $13500 in 2017</t>
  </si>
  <si>
    <t>Island Breeze Condominuim Budget 2018</t>
  </si>
  <si>
    <t>January 1, 2018 to December 31, 2018</t>
  </si>
  <si>
    <t>Expenses 2017</t>
  </si>
  <si>
    <t>2018</t>
  </si>
  <si>
    <t>Reserves 2018</t>
  </si>
  <si>
    <t>2018 Budget</t>
  </si>
  <si>
    <t>Without Reserves</t>
  </si>
  <si>
    <t>Reserve Incomes</t>
  </si>
  <si>
    <t>Island Breeze Condominuim Budget 2019</t>
  </si>
  <si>
    <t>January 1, 2019 to December 31, 2019</t>
  </si>
  <si>
    <t>Expenses 2018</t>
  </si>
  <si>
    <t>2019</t>
  </si>
  <si>
    <t>2019 Budget</t>
  </si>
  <si>
    <t>Camera Expense</t>
  </si>
  <si>
    <t>Pest Control Expense</t>
  </si>
  <si>
    <t>Reserves 2020</t>
  </si>
  <si>
    <t>2020 Budget</t>
  </si>
  <si>
    <t>Island Breeze Condominuim Budget 2020</t>
  </si>
  <si>
    <t>January 1, 2020 to December 31, 2020</t>
  </si>
  <si>
    <t>Expenses 2019</t>
  </si>
  <si>
    <t>2020</t>
  </si>
  <si>
    <t xml:space="preserve">Reserves </t>
  </si>
  <si>
    <t>Reserves 2021</t>
  </si>
  <si>
    <t>2021 Budget</t>
  </si>
  <si>
    <t>Island Breeze Condominuim Budget 2021</t>
  </si>
  <si>
    <t>January 1, 2021 to December 31, 2021</t>
  </si>
  <si>
    <t>Expenses 2020</t>
  </si>
  <si>
    <t>2021</t>
  </si>
  <si>
    <t>Roof Tiles</t>
  </si>
  <si>
    <t>Partial Reserves 60%</t>
  </si>
  <si>
    <t>Partial Reserves with Maintenance at 60%</t>
  </si>
  <si>
    <t>Partial Reserves 60% without maintenance</t>
  </si>
  <si>
    <t>Assessment</t>
  </si>
  <si>
    <t>Per Unit</t>
  </si>
  <si>
    <t>6 Months of Repayment per Month</t>
  </si>
  <si>
    <t>12 Months of Repayment per Month</t>
  </si>
  <si>
    <t>5 Years  of Repayment per Month</t>
  </si>
  <si>
    <t>LOC for $150,000.00 with fix interest at 4.25%</t>
  </si>
  <si>
    <t>7 Years of Repayment per Month</t>
  </si>
  <si>
    <t>3 Years  of Repayment per Month</t>
  </si>
  <si>
    <t>Island Breeze Condominuim Budget 2022</t>
  </si>
  <si>
    <t>January 1, 2022 to December 31, 2022</t>
  </si>
  <si>
    <t>Expenses 2021</t>
  </si>
  <si>
    <t>2022</t>
  </si>
  <si>
    <t xml:space="preserve">Projected Budget </t>
  </si>
  <si>
    <t>Reserves 2022</t>
  </si>
  <si>
    <t>2022 Budget</t>
  </si>
  <si>
    <t>Assessment for Roof</t>
  </si>
  <si>
    <t>with Assessment</t>
  </si>
  <si>
    <t>with Partial</t>
  </si>
  <si>
    <t xml:space="preserve">Special Assessment 2022 for Roof Replacement </t>
  </si>
  <si>
    <t>budget with full reserves</t>
  </si>
  <si>
    <t>with approved budget and assess</t>
  </si>
  <si>
    <t>Expenses 2022</t>
  </si>
  <si>
    <t>Island Breeze Condominuim Budget 2023</t>
  </si>
  <si>
    <t>January 1, 2023 to December 31, 2023</t>
  </si>
  <si>
    <t>2023</t>
  </si>
  <si>
    <t>Reserves 2023</t>
  </si>
  <si>
    <t xml:space="preserve">Special Assessment 2023 for Roof Replacement </t>
  </si>
  <si>
    <t>Concrete</t>
  </si>
  <si>
    <t>Roof.Patios</t>
  </si>
  <si>
    <t>10 Years of Repayment per Month</t>
  </si>
  <si>
    <t>LOC for $500,000.00 with no interest</t>
  </si>
  <si>
    <t>5 Years  of Repayment per Month $583,500.00</t>
  </si>
  <si>
    <t>201 202 205 301 302 303 404 405 501 503 505</t>
  </si>
  <si>
    <t>Island Breeze Condominuim Budget 2024</t>
  </si>
  <si>
    <t>January 1, 2024 to December 31, 2024</t>
  </si>
  <si>
    <t>Expenses 2023</t>
  </si>
  <si>
    <t>2024</t>
  </si>
  <si>
    <t>Reserves 2024</t>
  </si>
  <si>
    <t>Bank Fees</t>
  </si>
  <si>
    <t>Concert Repairs</t>
  </si>
  <si>
    <t>Engineer Expense</t>
  </si>
  <si>
    <t>Total Cost</t>
  </si>
  <si>
    <t>Assessment Income</t>
  </si>
  <si>
    <t>2024 Budget</t>
  </si>
  <si>
    <t>LOC for $380,378.38 with no interest</t>
  </si>
  <si>
    <t>5 Years  of Repayment per Month 8%</t>
  </si>
  <si>
    <t>Loan Term with interest</t>
  </si>
  <si>
    <t xml:space="preserve">Assessment Amount </t>
  </si>
  <si>
    <t xml:space="preserve">Concrete </t>
  </si>
  <si>
    <t>Reserve Study</t>
  </si>
  <si>
    <t>Termites</t>
  </si>
  <si>
    <t>Shades/louvers</t>
  </si>
  <si>
    <t>450,000.00 with no interest</t>
  </si>
  <si>
    <t xml:space="preserve">Proposed $510,000 </t>
  </si>
  <si>
    <t>Savings with the deductions</t>
  </si>
  <si>
    <t>12 Month Payments</t>
  </si>
  <si>
    <t>4 Payments Quarterly</t>
  </si>
  <si>
    <t>Expenses 2024</t>
  </si>
  <si>
    <t>2025</t>
  </si>
  <si>
    <t>Island Breeze Condominuim Budget 2025</t>
  </si>
  <si>
    <t>January 1, 2025 to December 31, 2025</t>
  </si>
  <si>
    <t>Termite Expense</t>
  </si>
  <si>
    <t>Taxes/Audit</t>
  </si>
  <si>
    <t>Entire Concrete Project</t>
  </si>
  <si>
    <t>Patio Repairs</t>
  </si>
  <si>
    <t>Website</t>
  </si>
  <si>
    <t>Reserves 2025</t>
  </si>
  <si>
    <t>2025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</si>
</sst>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#,##0"/>
  </numFmts>
  <fonts count="37" x14ac:knownFonts="1"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20"/>
      <color theme="1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sz val="20"/>
      <color theme="1"/>
      <name val="Times New Roman"/>
      <family val="1"/>
    </font>
    <font>
      <u/>
      <sz val="16"/>
      <color theme="1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24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Times New Roman"/>
      <family val="1"/>
    </font>
    <font>
      <u/>
      <sz val="24"/>
      <color theme="1"/>
      <name val="Times New Roman"/>
      <family val="1"/>
    </font>
    <font>
      <sz val="24"/>
      <color theme="0"/>
      <name val="Times New Roman"/>
      <family val="1"/>
    </font>
    <font>
      <sz val="16"/>
      <color theme="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8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7" fillId="0" borderId="0" xfId="0" applyFont="1"/>
    <xf numFmtId="0" fontId="1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1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8" fontId="0" fillId="0" borderId="3" xfId="0" applyNumberFormat="1" applyBorder="1"/>
    <xf numFmtId="10" fontId="0" fillId="0" borderId="3" xfId="0" applyNumberFormat="1" applyBorder="1" applyAlignment="1">
      <alignment horizontal="center"/>
    </xf>
    <xf numFmtId="8" fontId="0" fillId="0" borderId="3" xfId="0" applyNumberFormat="1" applyBorder="1" applyAlignment="1">
      <alignment horizontal="center"/>
    </xf>
    <xf numFmtId="8" fontId="8" fillId="0" borderId="3" xfId="0" applyNumberFormat="1" applyFont="1" applyBorder="1"/>
    <xf numFmtId="10" fontId="8" fillId="0" borderId="3" xfId="0" applyNumberFormat="1" applyFont="1" applyBorder="1" applyAlignment="1">
      <alignment horizontal="center"/>
    </xf>
    <xf numFmtId="8" fontId="8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1" fillId="0" borderId="3" xfId="0" applyNumberFormat="1" applyFont="1" applyBorder="1" applyAlignment="1">
      <alignment horizontal="center" wrapText="1"/>
    </xf>
    <xf numFmtId="164" fontId="11" fillId="3" borderId="3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2" fillId="0" borderId="3" xfId="0" applyFont="1" applyBorder="1" applyAlignment="1">
      <alignment wrapText="1"/>
    </xf>
    <xf numFmtId="0" fontId="12" fillId="0" borderId="3" xfId="0" applyFont="1" applyBorder="1" applyAlignment="1">
      <alignment horizontal="center"/>
    </xf>
    <xf numFmtId="164" fontId="11" fillId="3" borderId="3" xfId="0" applyNumberFormat="1" applyFont="1" applyFill="1" applyBorder="1" applyAlignment="1">
      <alignment horizontal="center"/>
    </xf>
    <xf numFmtId="8" fontId="12" fillId="0" borderId="3" xfId="0" applyNumberFormat="1" applyFont="1" applyBorder="1" applyAlignment="1">
      <alignment horizontal="center"/>
    </xf>
    <xf numFmtId="0" fontId="9" fillId="3" borderId="3" xfId="0" applyFont="1" applyFill="1" applyBorder="1" applyAlignment="1">
      <alignment horizontal="center" wrapText="1"/>
    </xf>
    <xf numFmtId="164" fontId="0" fillId="3" borderId="3" xfId="0" applyNumberForma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/>
    <xf numFmtId="164" fontId="14" fillId="0" borderId="0" xfId="0" applyNumberFormat="1" applyFont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0" fontId="17" fillId="0" borderId="0" xfId="0" applyFont="1"/>
    <xf numFmtId="0" fontId="13" fillId="0" borderId="3" xfId="0" applyFont="1" applyBorder="1" applyAlignment="1">
      <alignment horizontal="center"/>
    </xf>
    <xf numFmtId="164" fontId="15" fillId="0" borderId="3" xfId="0" applyNumberFormat="1" applyFont="1" applyBorder="1" applyAlignment="1">
      <alignment horizontal="center"/>
    </xf>
    <xf numFmtId="164" fontId="15" fillId="0" borderId="3" xfId="0" applyNumberFormat="1" applyFont="1" applyBorder="1" applyAlignment="1">
      <alignment horizontal="center" wrapText="1"/>
    </xf>
    <xf numFmtId="164" fontId="18" fillId="0" borderId="0" xfId="0" applyNumberFormat="1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3" xfId="0" applyNumberFormat="1" applyFont="1" applyBorder="1" applyAlignment="1">
      <alignment horizontal="center"/>
    </xf>
    <xf numFmtId="0" fontId="18" fillId="0" borderId="3" xfId="0" applyFont="1" applyBorder="1"/>
    <xf numFmtId="0" fontId="18" fillId="0" borderId="3" xfId="0" applyFont="1" applyBorder="1" applyAlignment="1">
      <alignment horizontal="center"/>
    </xf>
    <xf numFmtId="0" fontId="18" fillId="0" borderId="3" xfId="0" applyFont="1" applyBorder="1" applyAlignment="1">
      <alignment wrapText="1"/>
    </xf>
    <xf numFmtId="0" fontId="11" fillId="2" borderId="3" xfId="0" applyFont="1" applyFill="1" applyBorder="1" applyAlignment="1">
      <alignment horizontal="center" wrapText="1"/>
    </xf>
    <xf numFmtId="164" fontId="11" fillId="2" borderId="3" xfId="0" applyNumberFormat="1" applyFont="1" applyFill="1" applyBorder="1" applyAlignment="1">
      <alignment horizontal="center"/>
    </xf>
    <xf numFmtId="164" fontId="19" fillId="0" borderId="0" xfId="0" applyNumberFormat="1" applyFont="1" applyAlignment="1">
      <alignment horizontal="center"/>
    </xf>
    <xf numFmtId="164" fontId="18" fillId="0" borderId="0" xfId="0" applyNumberFormat="1" applyFont="1"/>
    <xf numFmtId="164" fontId="14" fillId="0" borderId="0" xfId="0" applyNumberFormat="1" applyFont="1"/>
    <xf numFmtId="0" fontId="20" fillId="4" borderId="3" xfId="0" applyFont="1" applyFill="1" applyBorder="1" applyAlignment="1">
      <alignment horizontal="center" wrapText="1"/>
    </xf>
    <xf numFmtId="8" fontId="21" fillId="4" borderId="3" xfId="0" applyNumberFormat="1" applyFont="1" applyFill="1" applyBorder="1" applyAlignment="1">
      <alignment horizontal="center"/>
    </xf>
    <xf numFmtId="164" fontId="20" fillId="4" borderId="3" xfId="0" applyNumberFormat="1" applyFont="1" applyFill="1" applyBorder="1" applyAlignment="1">
      <alignment horizontal="center"/>
    </xf>
    <xf numFmtId="8" fontId="12" fillId="2" borderId="3" xfId="0" applyNumberFormat="1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 wrapText="1"/>
    </xf>
    <xf numFmtId="8" fontId="12" fillId="5" borderId="3" xfId="0" applyNumberFormat="1" applyFont="1" applyFill="1" applyBorder="1" applyAlignment="1">
      <alignment horizontal="center"/>
    </xf>
    <xf numFmtId="164" fontId="11" fillId="5" borderId="3" xfId="0" applyNumberFormat="1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 wrapText="1"/>
    </xf>
    <xf numFmtId="164" fontId="11" fillId="6" borderId="3" xfId="0" applyNumberFormat="1" applyFont="1" applyFill="1" applyBorder="1" applyAlignment="1">
      <alignment horizontal="center"/>
    </xf>
    <xf numFmtId="0" fontId="23" fillId="0" borderId="0" xfId="0" applyFont="1"/>
    <xf numFmtId="0" fontId="22" fillId="0" borderId="3" xfId="0" applyFont="1" applyBorder="1" applyAlignment="1">
      <alignment horizontal="center"/>
    </xf>
    <xf numFmtId="14" fontId="22" fillId="0" borderId="3" xfId="0" applyNumberFormat="1" applyFont="1" applyBorder="1" applyAlignment="1">
      <alignment horizontal="center"/>
    </xf>
    <xf numFmtId="0" fontId="22" fillId="0" borderId="3" xfId="0" applyFont="1" applyBorder="1" applyAlignment="1">
      <alignment horizontal="center" wrapText="1"/>
    </xf>
    <xf numFmtId="0" fontId="22" fillId="0" borderId="3" xfId="0" applyFont="1" applyBorder="1"/>
    <xf numFmtId="0" fontId="23" fillId="0" borderId="3" xfId="0" applyFont="1" applyBorder="1" applyAlignment="1">
      <alignment horizontal="center"/>
    </xf>
    <xf numFmtId="8" fontId="23" fillId="0" borderId="3" xfId="0" applyNumberFormat="1" applyFont="1" applyBorder="1"/>
    <xf numFmtId="10" fontId="23" fillId="0" borderId="3" xfId="0" applyNumberFormat="1" applyFont="1" applyBorder="1" applyAlignment="1">
      <alignment horizontal="center"/>
    </xf>
    <xf numFmtId="8" fontId="23" fillId="0" borderId="3" xfId="0" applyNumberFormat="1" applyFont="1" applyBorder="1" applyAlignment="1">
      <alignment horizontal="center"/>
    </xf>
    <xf numFmtId="8" fontId="22" fillId="0" borderId="3" xfId="0" applyNumberFormat="1" applyFont="1" applyBorder="1"/>
    <xf numFmtId="10" fontId="22" fillId="0" borderId="3" xfId="0" applyNumberFormat="1" applyFont="1" applyBorder="1" applyAlignment="1">
      <alignment horizontal="center"/>
    </xf>
    <xf numFmtId="8" fontId="22" fillId="0" borderId="3" xfId="0" applyNumberFormat="1" applyFont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164" fontId="25" fillId="0" borderId="3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wrapText="1"/>
    </xf>
    <xf numFmtId="0" fontId="26" fillId="0" borderId="3" xfId="0" applyFont="1" applyBorder="1" applyAlignment="1">
      <alignment horizontal="center"/>
    </xf>
    <xf numFmtId="164" fontId="25" fillId="0" borderId="3" xfId="0" applyNumberFormat="1" applyFont="1" applyBorder="1" applyAlignment="1">
      <alignment horizontal="center"/>
    </xf>
    <xf numFmtId="8" fontId="26" fillId="0" borderId="3" xfId="0" applyNumberFormat="1" applyFont="1" applyBorder="1" applyAlignment="1">
      <alignment horizontal="center"/>
    </xf>
    <xf numFmtId="0" fontId="30" fillId="0" borderId="0" xfId="0" applyFont="1"/>
    <xf numFmtId="164" fontId="29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0" fontId="29" fillId="0" borderId="0" xfId="0" applyFont="1"/>
    <xf numFmtId="164" fontId="30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0" fontId="28" fillId="0" borderId="0" xfId="0" applyFont="1"/>
    <xf numFmtId="0" fontId="28" fillId="0" borderId="11" xfId="0" applyFont="1" applyBorder="1" applyAlignment="1">
      <alignment horizontal="center"/>
    </xf>
    <xf numFmtId="164" fontId="29" fillId="0" borderId="12" xfId="0" applyNumberFormat="1" applyFont="1" applyBorder="1" applyAlignment="1">
      <alignment horizontal="center"/>
    </xf>
    <xf numFmtId="164" fontId="29" fillId="0" borderId="13" xfId="0" applyNumberFormat="1" applyFont="1" applyBorder="1" applyAlignment="1">
      <alignment horizontal="center" wrapText="1"/>
    </xf>
    <xf numFmtId="164" fontId="29" fillId="0" borderId="0" xfId="0" applyNumberFormat="1" applyFont="1" applyAlignment="1">
      <alignment horizontal="center" wrapText="1"/>
    </xf>
    <xf numFmtId="0" fontId="30" fillId="0" borderId="14" xfId="0" applyFont="1" applyBorder="1"/>
    <xf numFmtId="0" fontId="30" fillId="0" borderId="3" xfId="0" applyFont="1" applyBorder="1" applyAlignment="1">
      <alignment horizontal="center"/>
    </xf>
    <xf numFmtId="164" fontId="30" fillId="0" borderId="15" xfId="0" applyNumberFormat="1" applyFont="1" applyBorder="1" applyAlignment="1">
      <alignment horizontal="center"/>
    </xf>
    <xf numFmtId="0" fontId="30" fillId="0" borderId="14" xfId="0" applyFont="1" applyBorder="1" applyAlignment="1">
      <alignment wrapText="1"/>
    </xf>
    <xf numFmtId="0" fontId="30" fillId="0" borderId="16" xfId="0" applyFont="1" applyBorder="1" applyAlignment="1">
      <alignment wrapText="1"/>
    </xf>
    <xf numFmtId="0" fontId="30" fillId="0" borderId="17" xfId="0" applyFont="1" applyBorder="1" applyAlignment="1">
      <alignment horizontal="center"/>
    </xf>
    <xf numFmtId="164" fontId="30" fillId="0" borderId="18" xfId="0" applyNumberFormat="1" applyFont="1" applyBorder="1" applyAlignment="1">
      <alignment horizontal="center"/>
    </xf>
    <xf numFmtId="0" fontId="25" fillId="2" borderId="3" xfId="0" applyFont="1" applyFill="1" applyBorder="1" applyAlignment="1">
      <alignment horizontal="center" vertical="center" wrapText="1"/>
    </xf>
    <xf numFmtId="164" fontId="25" fillId="2" borderId="3" xfId="0" applyNumberFormat="1" applyFont="1" applyFill="1" applyBorder="1" applyAlignment="1">
      <alignment horizontal="center"/>
    </xf>
    <xf numFmtId="8" fontId="23" fillId="0" borderId="0" xfId="0" applyNumberFormat="1" applyFont="1"/>
    <xf numFmtId="165" fontId="30" fillId="0" borderId="0" xfId="0" applyNumberFormat="1" applyFont="1" applyAlignment="1">
      <alignment horizontal="center"/>
    </xf>
    <xf numFmtId="165" fontId="31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horizontal="center"/>
    </xf>
    <xf numFmtId="164" fontId="29" fillId="0" borderId="2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164" fontId="32" fillId="0" borderId="0" xfId="0" applyNumberFormat="1" applyFont="1" applyAlignment="1">
      <alignment horizontal="center"/>
    </xf>
    <xf numFmtId="164" fontId="33" fillId="0" borderId="0" xfId="0" applyNumberFormat="1" applyFont="1" applyAlignment="1">
      <alignment horizontal="center"/>
    </xf>
    <xf numFmtId="164" fontId="11" fillId="0" borderId="3" xfId="0" applyNumberFormat="1" applyFont="1" applyBorder="1" applyAlignment="1">
      <alignment horizontal="center" vertical="center" wrapText="1"/>
    </xf>
    <xf numFmtId="164" fontId="23" fillId="0" borderId="0" xfId="0" applyNumberFormat="1" applyFont="1"/>
    <xf numFmtId="8" fontId="8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164" fontId="9" fillId="0" borderId="3" xfId="0" applyNumberFormat="1" applyFont="1" applyBorder="1" applyAlignment="1">
      <alignment horizontal="center" wrapText="1"/>
    </xf>
    <xf numFmtId="164" fontId="9" fillId="0" borderId="3" xfId="0" applyNumberFormat="1" applyFont="1" applyBorder="1" applyAlignment="1">
      <alignment horizontal="center"/>
    </xf>
    <xf numFmtId="8" fontId="11" fillId="0" borderId="3" xfId="0" applyNumberFormat="1" applyFont="1" applyBorder="1" applyAlignment="1">
      <alignment horizontal="center"/>
    </xf>
    <xf numFmtId="0" fontId="9" fillId="0" borderId="19" xfId="0" applyFont="1" applyBorder="1"/>
    <xf numFmtId="0" fontId="9" fillId="0" borderId="3" xfId="0" applyFont="1" applyBorder="1" applyAlignment="1">
      <alignment horizontal="center" vertical="center" wrapText="1"/>
    </xf>
    <xf numFmtId="0" fontId="23" fillId="0" borderId="3" xfId="0" applyFont="1" applyBorder="1"/>
    <xf numFmtId="164" fontId="23" fillId="0" borderId="3" xfId="0" applyNumberFormat="1" applyFont="1" applyBorder="1"/>
    <xf numFmtId="0" fontId="9" fillId="0" borderId="3" xfId="0" applyFont="1" applyBorder="1"/>
    <xf numFmtId="164" fontId="0" fillId="0" borderId="3" xfId="0" applyNumberFormat="1" applyBorder="1"/>
    <xf numFmtId="8" fontId="26" fillId="2" borderId="3" xfId="0" applyNumberFormat="1" applyFont="1" applyFill="1" applyBorder="1" applyAlignment="1">
      <alignment horizontal="center"/>
    </xf>
    <xf numFmtId="164" fontId="25" fillId="2" borderId="3" xfId="0" applyNumberFormat="1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2" fillId="0" borderId="20" xfId="0" applyFont="1" applyBorder="1" applyAlignment="1">
      <alignment wrapText="1"/>
    </xf>
    <xf numFmtId="164" fontId="30" fillId="0" borderId="2" xfId="0" applyNumberFormat="1" applyFont="1" applyBorder="1" applyAlignment="1">
      <alignment horizontal="center"/>
    </xf>
    <xf numFmtId="164" fontId="29" fillId="2" borderId="13" xfId="0" applyNumberFormat="1" applyFont="1" applyFill="1" applyBorder="1" applyAlignment="1">
      <alignment horizontal="center" wrapText="1"/>
    </xf>
    <xf numFmtId="164" fontId="30" fillId="2" borderId="15" xfId="0" applyNumberFormat="1" applyFont="1" applyFill="1" applyBorder="1" applyAlignment="1">
      <alignment horizontal="center"/>
    </xf>
    <xf numFmtId="164" fontId="30" fillId="2" borderId="18" xfId="0" applyNumberFormat="1" applyFont="1" applyFill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4" fillId="0" borderId="3" xfId="0" applyFont="1" applyBorder="1" applyAlignment="1">
      <alignment horizontal="center" vertical="center" wrapText="1"/>
    </xf>
    <xf numFmtId="165" fontId="35" fillId="0" borderId="3" xfId="0" applyNumberFormat="1" applyFont="1" applyBorder="1" applyAlignment="1">
      <alignment horizontal="center"/>
    </xf>
    <xf numFmtId="0" fontId="35" fillId="0" borderId="3" xfId="0" applyFont="1" applyBorder="1"/>
    <xf numFmtId="164" fontId="35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center"/>
    </xf>
    <xf numFmtId="165" fontId="34" fillId="0" borderId="3" xfId="0" applyNumberFormat="1" applyFont="1" applyBorder="1" applyAlignment="1">
      <alignment horizontal="center"/>
    </xf>
    <xf numFmtId="0" fontId="35" fillId="0" borderId="3" xfId="0" applyFont="1" applyBorder="1" applyAlignment="1">
      <alignment horizontal="center" vertical="center" wrapText="1"/>
    </xf>
    <xf numFmtId="8" fontId="36" fillId="0" borderId="21" xfId="0" applyNumberFormat="1" applyFont="1" applyBorder="1" applyAlignment="1">
      <alignment horizontal="center" vertical="center" wrapText="1"/>
    </xf>
    <xf numFmtId="8" fontId="36" fillId="0" borderId="22" xfId="0" applyNumberFormat="1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/>
    </xf>
    <xf numFmtId="164" fontId="29" fillId="0" borderId="10" xfId="0" applyNumberFormat="1" applyFont="1" applyBorder="1" applyAlignment="1">
      <alignment horizontal="center"/>
    </xf>
    <xf numFmtId="164" fontId="29" fillId="2" borderId="24" xfId="0" applyNumberFormat="1" applyFont="1" applyFill="1" applyBorder="1" applyAlignment="1">
      <alignment horizontal="center" wrapText="1"/>
    </xf>
    <xf numFmtId="0" fontId="28" fillId="0" borderId="11" xfId="0" applyFont="1" applyBorder="1"/>
    <xf numFmtId="0" fontId="29" fillId="0" borderId="16" xfId="0" applyFont="1" applyBorder="1"/>
    <xf numFmtId="0" fontId="24" fillId="2" borderId="3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wrapTex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164" fontId="30" fillId="0" borderId="3" xfId="0" applyNumberFormat="1" applyFont="1" applyBorder="1" applyAlignment="1">
      <alignment horizontal="center"/>
    </xf>
    <xf numFmtId="164" fontId="30" fillId="0" borderId="15" xfId="0" applyNumberFormat="1" applyFont="1" applyBorder="1" applyAlignment="1">
      <alignment horizontal="center"/>
    </xf>
    <xf numFmtId="164" fontId="29" fillId="7" borderId="17" xfId="0" applyNumberFormat="1" applyFont="1" applyFill="1" applyBorder="1" applyAlignment="1">
      <alignment horizontal="center"/>
    </xf>
    <xf numFmtId="164" fontId="29" fillId="7" borderId="18" xfId="0" applyNumberFormat="1" applyFont="1" applyFill="1" applyBorder="1" applyAlignment="1">
      <alignment horizontal="center"/>
    </xf>
    <xf numFmtId="164" fontId="29" fillId="0" borderId="12" xfId="0" applyNumberFormat="1" applyFont="1" applyBorder="1" applyAlignment="1">
      <alignment horizontal="center"/>
    </xf>
    <xf numFmtId="164" fontId="29" fillId="0" borderId="13" xfId="0" applyNumberFormat="1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opLeftCell="G44" workbookViewId="0">
      <selection activeCell="G30" sqref="G30"/>
    </sheetView>
  </sheetViews>
  <sheetFormatPr defaultColWidth="10.796875" defaultRowHeight="21" x14ac:dyDescent="0.4"/>
  <cols>
    <col min="1" max="1" width="58.09765625" style="2" bestFit="1" customWidth="1"/>
    <col min="2" max="6" width="10.796875" style="2"/>
    <col min="7" max="7" width="26.09765625" style="2" bestFit="1" customWidth="1"/>
    <col min="8" max="8" width="40.296875" style="2" bestFit="1" customWidth="1"/>
    <col min="9" max="9" width="34.59765625" style="3" customWidth="1"/>
    <col min="10" max="10" width="33.796875" style="2" customWidth="1"/>
    <col min="11" max="11" width="40.59765625" style="2" customWidth="1"/>
    <col min="12" max="12" width="27.5" style="2" bestFit="1" customWidth="1"/>
    <col min="13" max="13" width="27.5" style="2" customWidth="1"/>
    <col min="14" max="14" width="16.09765625" style="2" customWidth="1"/>
    <col min="15" max="16384" width="10.796875" style="2"/>
  </cols>
  <sheetData>
    <row r="1" spans="1:9" ht="25.8" x14ac:dyDescent="0.5">
      <c r="A1" s="11" t="s">
        <v>0</v>
      </c>
    </row>
    <row r="3" spans="1:9" x14ac:dyDescent="0.4">
      <c r="A3" s="1" t="s">
        <v>48</v>
      </c>
      <c r="G3" s="4" t="s">
        <v>47</v>
      </c>
      <c r="I3" s="2"/>
    </row>
    <row r="4" spans="1:9" x14ac:dyDescent="0.4">
      <c r="I4" s="2"/>
    </row>
    <row r="5" spans="1:9" x14ac:dyDescent="0.4">
      <c r="B5" s="2" t="s">
        <v>1</v>
      </c>
      <c r="G5" s="5">
        <v>500</v>
      </c>
      <c r="I5" s="2"/>
    </row>
    <row r="6" spans="1:9" x14ac:dyDescent="0.4">
      <c r="B6" s="2" t="s">
        <v>2</v>
      </c>
      <c r="G6" s="5">
        <v>128.72</v>
      </c>
      <c r="I6" s="2"/>
    </row>
    <row r="7" spans="1:9" x14ac:dyDescent="0.4">
      <c r="B7" s="2" t="s">
        <v>3</v>
      </c>
      <c r="G7" s="5">
        <v>6000</v>
      </c>
      <c r="I7" s="2"/>
    </row>
    <row r="8" spans="1:9" x14ac:dyDescent="0.4">
      <c r="B8" s="2" t="s">
        <v>4</v>
      </c>
      <c r="G8" s="5">
        <v>3500</v>
      </c>
      <c r="I8" s="2"/>
    </row>
    <row r="9" spans="1:9" x14ac:dyDescent="0.4">
      <c r="B9" s="2" t="s">
        <v>5</v>
      </c>
      <c r="G9" s="5">
        <v>6500</v>
      </c>
      <c r="I9" s="2"/>
    </row>
    <row r="10" spans="1:9" x14ac:dyDescent="0.4">
      <c r="B10" s="2" t="s">
        <v>6</v>
      </c>
      <c r="G10" s="5">
        <v>4500</v>
      </c>
      <c r="I10" s="2"/>
    </row>
    <row r="11" spans="1:9" x14ac:dyDescent="0.4">
      <c r="B11" s="2" t="s">
        <v>8</v>
      </c>
      <c r="G11" s="5">
        <v>7800</v>
      </c>
      <c r="I11" s="2"/>
    </row>
    <row r="12" spans="1:9" x14ac:dyDescent="0.4">
      <c r="B12" s="2" t="s">
        <v>7</v>
      </c>
      <c r="G12" s="5">
        <v>1000</v>
      </c>
      <c r="I12" s="2"/>
    </row>
    <row r="13" spans="1:9" x14ac:dyDescent="0.4">
      <c r="B13" s="2" t="s">
        <v>9</v>
      </c>
      <c r="G13" s="5">
        <v>1200</v>
      </c>
      <c r="I13" s="2"/>
    </row>
    <row r="14" spans="1:9" x14ac:dyDescent="0.4">
      <c r="B14" s="2" t="s">
        <v>10</v>
      </c>
      <c r="G14" s="5">
        <v>2000</v>
      </c>
      <c r="I14" s="2"/>
    </row>
    <row r="15" spans="1:9" x14ac:dyDescent="0.4">
      <c r="B15" s="2" t="s">
        <v>11</v>
      </c>
      <c r="G15" s="5">
        <v>700</v>
      </c>
      <c r="I15" s="2"/>
    </row>
    <row r="16" spans="1:9" x14ac:dyDescent="0.4">
      <c r="B16" s="2" t="s">
        <v>12</v>
      </c>
      <c r="G16" s="5">
        <v>9000</v>
      </c>
      <c r="I16" s="2"/>
    </row>
    <row r="17" spans="1:9" x14ac:dyDescent="0.4">
      <c r="B17" s="2" t="s">
        <v>13</v>
      </c>
      <c r="G17" s="5">
        <v>8500</v>
      </c>
      <c r="I17" s="2"/>
    </row>
    <row r="18" spans="1:9" x14ac:dyDescent="0.4">
      <c r="B18" s="2" t="s">
        <v>14</v>
      </c>
      <c r="G18" s="5">
        <v>3000</v>
      </c>
      <c r="I18" s="2"/>
    </row>
    <row r="19" spans="1:9" x14ac:dyDescent="0.4">
      <c r="B19" s="2" t="s">
        <v>15</v>
      </c>
      <c r="G19" s="5">
        <v>2000</v>
      </c>
      <c r="I19" s="2"/>
    </row>
    <row r="20" spans="1:9" x14ac:dyDescent="0.4">
      <c r="B20" s="2" t="s">
        <v>16</v>
      </c>
      <c r="G20" s="5">
        <v>240</v>
      </c>
      <c r="I20" s="2"/>
    </row>
    <row r="21" spans="1:9" x14ac:dyDescent="0.4">
      <c r="B21" s="2" t="s">
        <v>17</v>
      </c>
      <c r="G21" s="5">
        <v>200</v>
      </c>
      <c r="I21" s="2"/>
    </row>
    <row r="22" spans="1:9" x14ac:dyDescent="0.4">
      <c r="B22" s="2" t="s">
        <v>18</v>
      </c>
      <c r="G22" s="5">
        <v>9746.7800000000007</v>
      </c>
      <c r="I22" s="2"/>
    </row>
    <row r="23" spans="1:9" x14ac:dyDescent="0.4">
      <c r="B23" s="2" t="s">
        <v>19</v>
      </c>
      <c r="G23" s="5">
        <v>2576</v>
      </c>
      <c r="I23" s="2"/>
    </row>
    <row r="24" spans="1:9" x14ac:dyDescent="0.4">
      <c r="B24" s="2" t="s">
        <v>20</v>
      </c>
      <c r="G24" s="5">
        <v>18589</v>
      </c>
      <c r="I24" s="2"/>
    </row>
    <row r="25" spans="1:9" x14ac:dyDescent="0.4">
      <c r="B25" s="2" t="s">
        <v>21</v>
      </c>
      <c r="G25" s="5">
        <v>4800</v>
      </c>
      <c r="I25" s="2"/>
    </row>
    <row r="26" spans="1:9" x14ac:dyDescent="0.4">
      <c r="B26" s="2" t="s">
        <v>22</v>
      </c>
      <c r="G26" s="5">
        <v>1000.5</v>
      </c>
      <c r="I26" s="2"/>
    </row>
    <row r="27" spans="1:9" x14ac:dyDescent="0.4">
      <c r="I27" s="2"/>
    </row>
    <row r="28" spans="1:9" ht="21.6" thickBot="1" x14ac:dyDescent="0.45">
      <c r="A28" s="1" t="s">
        <v>23</v>
      </c>
      <c r="G28" s="9">
        <f>SUM(G5:G26)</f>
        <v>93481</v>
      </c>
      <c r="I28" s="2"/>
    </row>
    <row r="29" spans="1:9" ht="21.6" thickTop="1" x14ac:dyDescent="0.4"/>
    <row r="30" spans="1:9" ht="21.6" thickBot="1" x14ac:dyDescent="0.45">
      <c r="A30" s="8" t="s">
        <v>24</v>
      </c>
      <c r="G30" s="9">
        <f>G28</f>
        <v>93481</v>
      </c>
      <c r="I30" s="10"/>
    </row>
    <row r="31" spans="1:9" ht="21.6" thickTop="1" x14ac:dyDescent="0.4"/>
    <row r="33" spans="1:14" x14ac:dyDescent="0.4">
      <c r="A33" s="1" t="s">
        <v>25</v>
      </c>
      <c r="G33" s="4" t="s">
        <v>49</v>
      </c>
      <c r="H33" s="4" t="s">
        <v>52</v>
      </c>
      <c r="I33" s="4" t="s">
        <v>40</v>
      </c>
      <c r="J33" s="4" t="s">
        <v>39</v>
      </c>
    </row>
    <row r="34" spans="1:14" x14ac:dyDescent="0.4">
      <c r="I34" s="2"/>
      <c r="J34" s="3"/>
    </row>
    <row r="35" spans="1:14" x14ac:dyDescent="0.4">
      <c r="A35" s="2" t="s">
        <v>26</v>
      </c>
      <c r="G35" s="5">
        <f>H35/12</f>
        <v>79.166666666666671</v>
      </c>
      <c r="H35" s="5">
        <v>950</v>
      </c>
      <c r="I35" s="3">
        <v>20</v>
      </c>
      <c r="J35" s="5">
        <v>19000</v>
      </c>
    </row>
    <row r="36" spans="1:14" x14ac:dyDescent="0.4">
      <c r="A36" s="2" t="s">
        <v>27</v>
      </c>
      <c r="G36" s="5">
        <f>H36/12</f>
        <v>476.16666666666669</v>
      </c>
      <c r="H36" s="5">
        <v>5714</v>
      </c>
      <c r="I36" s="3">
        <v>7</v>
      </c>
      <c r="J36" s="5">
        <v>40000</v>
      </c>
    </row>
    <row r="37" spans="1:14" x14ac:dyDescent="0.4">
      <c r="A37" s="2" t="s">
        <v>28</v>
      </c>
      <c r="G37" s="5">
        <f>H37/12</f>
        <v>341.25</v>
      </c>
      <c r="H37" s="5">
        <v>4095</v>
      </c>
      <c r="I37" s="3">
        <v>20</v>
      </c>
      <c r="J37" s="5">
        <v>81900</v>
      </c>
    </row>
    <row r="38" spans="1:14" x14ac:dyDescent="0.4">
      <c r="A38" s="2" t="s">
        <v>29</v>
      </c>
      <c r="G38" s="5">
        <f>H38/12</f>
        <v>833.33333333333337</v>
      </c>
      <c r="H38" s="5">
        <v>10000</v>
      </c>
      <c r="I38" s="3">
        <v>10</v>
      </c>
      <c r="J38" s="5">
        <v>100000</v>
      </c>
    </row>
    <row r="39" spans="1:14" x14ac:dyDescent="0.4">
      <c r="A39" s="2" t="s">
        <v>30</v>
      </c>
      <c r="G39" s="5">
        <f>H39/12</f>
        <v>96.666666666666671</v>
      </c>
      <c r="H39" s="5">
        <v>1160</v>
      </c>
      <c r="I39" s="3">
        <v>25</v>
      </c>
      <c r="J39" s="5">
        <v>29000</v>
      </c>
    </row>
    <row r="40" spans="1:14" x14ac:dyDescent="0.4">
      <c r="I40" s="2"/>
      <c r="J40" s="5"/>
    </row>
    <row r="41" spans="1:14" ht="21.6" thickBot="1" x14ac:dyDescent="0.45">
      <c r="A41" s="1" t="s">
        <v>31</v>
      </c>
      <c r="G41" s="9">
        <f>SUM(G35:G39)</f>
        <v>1826.5833333333335</v>
      </c>
      <c r="H41" s="9">
        <f>SUM(H35:H39)</f>
        <v>21919</v>
      </c>
      <c r="I41" s="2"/>
      <c r="J41" s="9">
        <f>SUM(J35:J39)</f>
        <v>269900</v>
      </c>
    </row>
    <row r="42" spans="1:14" ht="21.6" thickTop="1" x14ac:dyDescent="0.4">
      <c r="N42" s="3"/>
    </row>
    <row r="44" spans="1:14" ht="21.6" thickBot="1" x14ac:dyDescent="0.45">
      <c r="A44" s="8" t="s">
        <v>32</v>
      </c>
    </row>
    <row r="45" spans="1:14" ht="21.6" thickTop="1" x14ac:dyDescent="0.4"/>
    <row r="46" spans="1:14" x14ac:dyDescent="0.4">
      <c r="A46" s="1" t="s">
        <v>41</v>
      </c>
      <c r="G46" s="4" t="s">
        <v>50</v>
      </c>
      <c r="H46" s="4" t="s">
        <v>42</v>
      </c>
      <c r="I46" s="12" t="s">
        <v>43</v>
      </c>
      <c r="J46" s="12" t="s">
        <v>51</v>
      </c>
      <c r="K46" s="4" t="s">
        <v>45</v>
      </c>
    </row>
    <row r="47" spans="1:14" x14ac:dyDescent="0.4">
      <c r="A47" s="2" t="s">
        <v>33</v>
      </c>
      <c r="G47" s="5">
        <v>468.78</v>
      </c>
      <c r="H47" s="6">
        <v>4.9099999999999998E-2</v>
      </c>
      <c r="I47" s="13">
        <f t="shared" ref="I47:I52" si="0">G47*H47</f>
        <v>23.017097999999997</v>
      </c>
      <c r="J47" s="13">
        <f t="shared" ref="J47:J52" si="1">G47+I47</f>
        <v>491.79709799999995</v>
      </c>
      <c r="K47" s="5">
        <f>(6*12)*J47</f>
        <v>35409.391055999993</v>
      </c>
    </row>
    <row r="48" spans="1:14" x14ac:dyDescent="0.4">
      <c r="A48" s="2" t="s">
        <v>34</v>
      </c>
      <c r="G48" s="5">
        <v>520.58000000000004</v>
      </c>
      <c r="H48" s="6">
        <v>4.9099999999999998E-2</v>
      </c>
      <c r="I48" s="13">
        <f t="shared" si="0"/>
        <v>25.560478</v>
      </c>
      <c r="J48" s="13">
        <f t="shared" si="1"/>
        <v>546.14047800000003</v>
      </c>
      <c r="K48" s="5">
        <f>(6*12)*J48</f>
        <v>39322.114416000004</v>
      </c>
    </row>
    <row r="49" spans="1:11" x14ac:dyDescent="0.4">
      <c r="A49" s="2" t="s">
        <v>35</v>
      </c>
      <c r="G49" s="5">
        <v>508.84</v>
      </c>
      <c r="H49" s="6">
        <v>4.9099999999999998E-2</v>
      </c>
      <c r="I49" s="13">
        <f t="shared" si="0"/>
        <v>24.984043999999997</v>
      </c>
      <c r="J49" s="13">
        <f t="shared" si="1"/>
        <v>533.82404399999996</v>
      </c>
      <c r="K49" s="5">
        <f>(3*12)*J49</f>
        <v>19217.665583999998</v>
      </c>
    </row>
    <row r="50" spans="1:11" x14ac:dyDescent="0.4">
      <c r="A50" s="2" t="s">
        <v>36</v>
      </c>
      <c r="G50" s="5">
        <v>524.61</v>
      </c>
      <c r="H50" s="6">
        <v>4.9099999999999998E-2</v>
      </c>
      <c r="I50" s="13">
        <f t="shared" si="0"/>
        <v>25.758351000000001</v>
      </c>
      <c r="J50" s="13">
        <f t="shared" si="1"/>
        <v>550.36835099999996</v>
      </c>
      <c r="K50" s="5">
        <f>12*J50</f>
        <v>6604.4202119999991</v>
      </c>
    </row>
    <row r="51" spans="1:11" x14ac:dyDescent="0.4">
      <c r="A51" s="2" t="s">
        <v>37</v>
      </c>
      <c r="G51" s="5">
        <v>636.72</v>
      </c>
      <c r="H51" s="6">
        <v>4.9099999999999998E-2</v>
      </c>
      <c r="I51" s="13">
        <f t="shared" si="0"/>
        <v>31.262951999999999</v>
      </c>
      <c r="J51" s="13">
        <f t="shared" si="1"/>
        <v>667.98295200000007</v>
      </c>
      <c r="K51" s="5">
        <f>12*J51</f>
        <v>8015.7954240000008</v>
      </c>
    </row>
    <row r="52" spans="1:11" x14ac:dyDescent="0.4">
      <c r="A52" s="2" t="s">
        <v>38</v>
      </c>
      <c r="G52" s="5">
        <v>542.66999999999996</v>
      </c>
      <c r="H52" s="6">
        <v>4.9099999999999998E-2</v>
      </c>
      <c r="I52" s="13">
        <f t="shared" si="0"/>
        <v>26.645096999999996</v>
      </c>
      <c r="J52" s="13">
        <f t="shared" si="1"/>
        <v>569.31509699999992</v>
      </c>
      <c r="K52" s="5">
        <f>12*J52</f>
        <v>6831.7811639999991</v>
      </c>
    </row>
    <row r="54" spans="1:11" x14ac:dyDescent="0.4">
      <c r="A54" s="1" t="s">
        <v>44</v>
      </c>
      <c r="I54" s="5"/>
      <c r="K54" s="7">
        <f>SUM(K47:K52)</f>
        <v>115401.16785599999</v>
      </c>
    </row>
    <row r="55" spans="1:11" x14ac:dyDescent="0.4">
      <c r="I55" s="5"/>
    </row>
    <row r="56" spans="1:11" x14ac:dyDescent="0.4">
      <c r="A56" s="1" t="s">
        <v>46</v>
      </c>
      <c r="I56" s="5"/>
      <c r="K56" s="7">
        <f>K54-G28</f>
        <v>21920.167855999985</v>
      </c>
    </row>
    <row r="57" spans="1:11" x14ac:dyDescent="0.4">
      <c r="I57" s="5"/>
    </row>
    <row r="61" spans="1:11" x14ac:dyDescent="0.4">
      <c r="I61" s="5"/>
    </row>
  </sheetData>
  <phoneticPr fontId="4" type="noConversion"/>
  <pageMargins left="0.75" right="0.75" top="1" bottom="1" header="0.5" footer="0.5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22"/>
  <sheetViews>
    <sheetView topLeftCell="A6" workbookViewId="0">
      <selection activeCell="I14" sqref="I14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6384" width="8.796875" style="68"/>
  </cols>
  <sheetData>
    <row r="2" spans="1:9" x14ac:dyDescent="0.3">
      <c r="A2" s="159" t="s">
        <v>140</v>
      </c>
      <c r="B2" s="171"/>
      <c r="C2" s="171"/>
      <c r="D2" s="171"/>
      <c r="E2" s="171"/>
      <c r="F2" s="171"/>
      <c r="G2" s="171"/>
      <c r="H2" s="171"/>
      <c r="I2" s="171"/>
    </row>
    <row r="3" spans="1:9" x14ac:dyDescent="0.3">
      <c r="A3" s="172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7" t="s">
        <v>137</v>
      </c>
    </row>
    <row r="4" spans="1:9" x14ac:dyDescent="0.3">
      <c r="A4" s="173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137</v>
      </c>
      <c r="I4" s="173"/>
    </row>
    <row r="5" spans="1:9" ht="28.8" x14ac:dyDescent="0.3">
      <c r="A5" s="69"/>
      <c r="B5" s="69"/>
      <c r="C5" s="69"/>
      <c r="D5" s="69" t="s">
        <v>80</v>
      </c>
      <c r="E5" s="70">
        <v>43465</v>
      </c>
      <c r="F5" s="69" t="s">
        <v>81</v>
      </c>
      <c r="G5" s="69" t="s">
        <v>82</v>
      </c>
      <c r="H5" s="69" t="s">
        <v>83</v>
      </c>
      <c r="I5" s="71" t="s">
        <v>118</v>
      </c>
    </row>
    <row r="6" spans="1:9" x14ac:dyDescent="0.3">
      <c r="A6" s="72" t="s">
        <v>27</v>
      </c>
      <c r="B6" s="73">
        <v>7</v>
      </c>
      <c r="C6" s="74">
        <v>40000</v>
      </c>
      <c r="D6" s="75">
        <v>0.3</v>
      </c>
      <c r="E6" s="76">
        <f>SUM(E11*D6)</f>
        <v>18900</v>
      </c>
      <c r="F6" s="73">
        <v>2</v>
      </c>
      <c r="G6" s="76">
        <f>C6-E6</f>
        <v>21100</v>
      </c>
      <c r="H6" s="76">
        <f>SUM(G6/F6)</f>
        <v>10550</v>
      </c>
      <c r="I6" s="76">
        <f>SUM(H6*0.5)</f>
        <v>5275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0.4</v>
      </c>
      <c r="E7" s="76">
        <f>SUM(E11*D7)</f>
        <v>25200</v>
      </c>
      <c r="F7" s="73">
        <v>14</v>
      </c>
      <c r="G7" s="76">
        <f>C7-E7</f>
        <v>54800</v>
      </c>
      <c r="H7" s="76">
        <f>SUM(G7/F7)</f>
        <v>3914.2857142857142</v>
      </c>
      <c r="I7" s="76">
        <f>SUM(H7*0.5)</f>
        <v>1957.1428571428571</v>
      </c>
    </row>
    <row r="8" spans="1:9" x14ac:dyDescent="0.3">
      <c r="A8" s="72" t="s">
        <v>85</v>
      </c>
      <c r="B8" s="73">
        <v>15</v>
      </c>
      <c r="C8" s="74">
        <v>60000</v>
      </c>
      <c r="D8" s="75">
        <v>0.05</v>
      </c>
      <c r="E8" s="76">
        <f>SUM(E11*D8)</f>
        <v>3150</v>
      </c>
      <c r="F8" s="73">
        <v>7</v>
      </c>
      <c r="G8" s="76">
        <f>C8-E8</f>
        <v>56850</v>
      </c>
      <c r="H8" s="76">
        <f>SUM(G8/F8)</f>
        <v>8121.4285714285716</v>
      </c>
      <c r="I8" s="76">
        <f>SUM(H8*0.5)</f>
        <v>4060.7142857142858</v>
      </c>
    </row>
    <row r="9" spans="1:9" x14ac:dyDescent="0.3">
      <c r="A9" s="72" t="s">
        <v>28</v>
      </c>
      <c r="B9" s="73">
        <v>30</v>
      </c>
      <c r="C9" s="74">
        <v>81900</v>
      </c>
      <c r="D9" s="75">
        <v>0.2</v>
      </c>
      <c r="E9" s="76">
        <f>SUM(E11*D9)</f>
        <v>12600</v>
      </c>
      <c r="F9" s="73">
        <v>29</v>
      </c>
      <c r="G9" s="76">
        <f>SUM(C9-E9)</f>
        <v>69300</v>
      </c>
      <c r="H9" s="76">
        <f>SUM(G9/F9)</f>
        <v>2389.655172413793</v>
      </c>
      <c r="I9" s="76">
        <f>SUM(H9*0.5)</f>
        <v>1194.8275862068965</v>
      </c>
    </row>
    <row r="10" spans="1:9" x14ac:dyDescent="0.3">
      <c r="A10" s="72" t="s">
        <v>30</v>
      </c>
      <c r="B10" s="73">
        <v>25</v>
      </c>
      <c r="C10" s="74">
        <v>29000</v>
      </c>
      <c r="D10" s="75">
        <v>0.05</v>
      </c>
      <c r="E10" s="76">
        <f>SUM(E11*D10)</f>
        <v>3150</v>
      </c>
      <c r="F10" s="73">
        <v>17</v>
      </c>
      <c r="G10" s="76">
        <f>C10-E10</f>
        <v>25850</v>
      </c>
      <c r="H10" s="76">
        <f>SUM(G10/F10)</f>
        <v>1520.5882352941176</v>
      </c>
      <c r="I10" s="76">
        <f>SUM(H10*0.5)</f>
        <v>760.29411764705878</v>
      </c>
    </row>
    <row r="11" spans="1:9" x14ac:dyDescent="0.3">
      <c r="A11" s="72" t="s">
        <v>86</v>
      </c>
      <c r="B11" s="69"/>
      <c r="C11" s="77">
        <f>SUM(C6:C8)</f>
        <v>180000</v>
      </c>
      <c r="D11" s="78">
        <f>SUM(D6:D10)</f>
        <v>1</v>
      </c>
      <c r="E11" s="79">
        <v>63000</v>
      </c>
      <c r="F11" s="69"/>
      <c r="G11" s="79">
        <f>C11-E11</f>
        <v>117000</v>
      </c>
      <c r="H11" s="79">
        <f>SUM(H6:H10)</f>
        <v>26495.957693422199</v>
      </c>
      <c r="I11" s="79">
        <f>SUM(I6:I10)</f>
        <v>13247.978846711099</v>
      </c>
    </row>
    <row r="13" spans="1:9" ht="69" x14ac:dyDescent="0.3">
      <c r="A13" s="80" t="s">
        <v>41</v>
      </c>
      <c r="B13" s="81" t="s">
        <v>65</v>
      </c>
      <c r="C13" s="81" t="s">
        <v>67</v>
      </c>
      <c r="D13" s="82" t="s">
        <v>87</v>
      </c>
      <c r="E13" s="82" t="s">
        <v>88</v>
      </c>
      <c r="F13" s="82" t="s">
        <v>121</v>
      </c>
      <c r="G13" s="82" t="s">
        <v>119</v>
      </c>
      <c r="I13" s="107">
        <f>H11/12</f>
        <v>2207.9964744518497</v>
      </c>
    </row>
    <row r="14" spans="1:9" x14ac:dyDescent="0.3">
      <c r="A14" s="83" t="s">
        <v>33</v>
      </c>
      <c r="B14" s="84">
        <v>5.1139999999999998E-2</v>
      </c>
      <c r="C14" s="85">
        <f>SUM('Budget 2019'!C49)</f>
        <v>418.3465083333333</v>
      </c>
      <c r="D14" s="86">
        <f>SUM(H11*B14/12)</f>
        <v>112.91693970346761</v>
      </c>
      <c r="E14" s="85">
        <f t="shared" ref="E14:E19" si="0">SUM(C14+D14)</f>
        <v>531.26344803680092</v>
      </c>
      <c r="F14" s="86">
        <f>SUM(I11*B14/12)</f>
        <v>56.458469851733803</v>
      </c>
      <c r="G14" s="85">
        <f t="shared" ref="G14:G19" si="1">SUM(C14+F14)</f>
        <v>474.80497818506711</v>
      </c>
    </row>
    <row r="15" spans="1:9" x14ac:dyDescent="0.3">
      <c r="A15" s="83" t="s">
        <v>34</v>
      </c>
      <c r="B15" s="84">
        <v>5.679E-2</v>
      </c>
      <c r="C15" s="85">
        <f>SUM('Budget 2019'!C50)</f>
        <v>464.56586250000004</v>
      </c>
      <c r="D15" s="86">
        <f>SUM(H11*B15/12)</f>
        <v>125.39211978412055</v>
      </c>
      <c r="E15" s="85">
        <f t="shared" si="0"/>
        <v>589.95798228412059</v>
      </c>
      <c r="F15" s="86">
        <f>SUM(I11*B15/12)</f>
        <v>62.696059892060276</v>
      </c>
      <c r="G15" s="85">
        <f t="shared" si="1"/>
        <v>527.26192239206034</v>
      </c>
    </row>
    <row r="16" spans="1:9" x14ac:dyDescent="0.3">
      <c r="A16" s="83" t="s">
        <v>35</v>
      </c>
      <c r="B16" s="84">
        <v>5.5509999999999997E-2</v>
      </c>
      <c r="C16" s="85">
        <f>SUM('Budget 2019'!C51)</f>
        <v>454.09492916666665</v>
      </c>
      <c r="D16" s="86">
        <f>SUM(H11*B16/12)</f>
        <v>122.56588429682218</v>
      </c>
      <c r="E16" s="85">
        <f t="shared" si="0"/>
        <v>576.66081346348881</v>
      </c>
      <c r="F16" s="86">
        <f>SUM(I11*B16/12)</f>
        <v>61.282942148411088</v>
      </c>
      <c r="G16" s="85">
        <f t="shared" si="1"/>
        <v>515.37787131507775</v>
      </c>
    </row>
    <row r="17" spans="1:8" x14ac:dyDescent="0.3">
      <c r="A17" s="83" t="s">
        <v>36</v>
      </c>
      <c r="B17" s="84">
        <v>5.7230000000000003E-2</v>
      </c>
      <c r="C17" s="85">
        <f>SUM('Budget 2019'!C52)</f>
        <v>468.16524583333336</v>
      </c>
      <c r="D17" s="86">
        <f>SUM(H11*B17/12)</f>
        <v>126.36363823287938</v>
      </c>
      <c r="E17" s="85">
        <f t="shared" si="0"/>
        <v>594.52888406621275</v>
      </c>
      <c r="F17" s="86">
        <f>SUM(I11*B17/12)</f>
        <v>63.181819116439691</v>
      </c>
      <c r="G17" s="85">
        <f t="shared" si="1"/>
        <v>531.34706494977308</v>
      </c>
    </row>
    <row r="18" spans="1:8" x14ac:dyDescent="0.3">
      <c r="A18" s="83" t="s">
        <v>92</v>
      </c>
      <c r="B18" s="84">
        <v>5.9200000000000003E-2</v>
      </c>
      <c r="C18" s="85">
        <f>SUM('Budget 2019'!C53)</f>
        <v>484.28066666666672</v>
      </c>
      <c r="D18" s="86">
        <f>SUM(H11*B18/12)</f>
        <v>130.71339128754951</v>
      </c>
      <c r="E18" s="85">
        <f t="shared" si="0"/>
        <v>614.99405795421626</v>
      </c>
      <c r="F18" s="86">
        <f>SUM(I11*B18/12)</f>
        <v>65.356695643774756</v>
      </c>
      <c r="G18" s="85">
        <f t="shared" si="1"/>
        <v>549.63736231044152</v>
      </c>
    </row>
    <row r="19" spans="1:8" x14ac:dyDescent="0.3">
      <c r="A19" s="83" t="s">
        <v>38</v>
      </c>
      <c r="B19" s="84">
        <v>6.9459999999999994E-2</v>
      </c>
      <c r="C19" s="85">
        <f>SUM('Budget 2019'!C54)</f>
        <v>568.21174166666663</v>
      </c>
      <c r="D19" s="86">
        <f>SUM(H11*B19/12)</f>
        <v>153.36743511542548</v>
      </c>
      <c r="E19" s="85">
        <f t="shared" si="0"/>
        <v>721.57917678209208</v>
      </c>
      <c r="F19" s="86">
        <f>SUM(I11*B19/12)</f>
        <v>76.68371755771274</v>
      </c>
      <c r="G19" s="85">
        <f t="shared" si="1"/>
        <v>644.89545922437935</v>
      </c>
    </row>
    <row r="20" spans="1:8" ht="16.2" thickBot="1" x14ac:dyDescent="0.35"/>
    <row r="21" spans="1:8" x14ac:dyDescent="0.3">
      <c r="A21" s="174" t="s">
        <v>91</v>
      </c>
      <c r="B21" s="175"/>
      <c r="C21" s="175"/>
      <c r="D21" s="175"/>
      <c r="E21" s="175"/>
      <c r="F21" s="175"/>
      <c r="G21" s="175"/>
      <c r="H21" s="176"/>
    </row>
    <row r="22" spans="1:8" ht="16.2" thickBot="1" x14ac:dyDescent="0.35">
      <c r="A22" s="177"/>
      <c r="B22" s="178"/>
      <c r="C22" s="178"/>
      <c r="D22" s="178"/>
      <c r="E22" s="178"/>
      <c r="F22" s="178"/>
      <c r="G22" s="178"/>
      <c r="H22" s="179"/>
    </row>
  </sheetData>
  <mergeCells count="4">
    <mergeCell ref="A2:I2"/>
    <mergeCell ref="A3:A4"/>
    <mergeCell ref="I3:I4"/>
    <mergeCell ref="A21:H22"/>
  </mergeCells>
  <pageMargins left="0.2" right="0.2" top="0.75" bottom="0.4" header="0.3" footer="0.3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1D79-EA06-9F45-817C-78B99D6DB0B0}">
  <dimension ref="A1:K60"/>
  <sheetViews>
    <sheetView view="pageBreakPreview" zoomScale="60" zoomScaleSheetLayoutView="40" workbookViewId="0">
      <selection activeCell="C7" sqref="C7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9" t="s">
        <v>142</v>
      </c>
      <c r="B1" s="169"/>
      <c r="C1" s="169"/>
      <c r="D1" s="169"/>
    </row>
    <row r="2" spans="1:9" ht="54" customHeight="1" x14ac:dyDescent="0.4">
      <c r="A2" s="170" t="s">
        <v>143</v>
      </c>
      <c r="B2" s="170"/>
      <c r="C2" s="170"/>
      <c r="D2" s="170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99</v>
      </c>
    </row>
    <row r="4" spans="1:9" ht="25.5" customHeight="1" x14ac:dyDescent="0.55000000000000004">
      <c r="A4" s="87"/>
      <c r="B4" s="89" t="s">
        <v>136</v>
      </c>
      <c r="C4" s="88" t="s">
        <v>144</v>
      </c>
      <c r="D4" s="89" t="s">
        <v>145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91">
        <v>98165</v>
      </c>
      <c r="C6" s="91">
        <v>120000</v>
      </c>
      <c r="D6" s="91">
        <f>SUM(D10-D9-D8-D7)</f>
        <v>97486.600274725264</v>
      </c>
      <c r="I6" s="36"/>
    </row>
    <row r="7" spans="1:9" ht="25.5" customHeight="1" x14ac:dyDescent="0.55000000000000004">
      <c r="A7" s="87" t="s">
        <v>132</v>
      </c>
      <c r="B7" s="91">
        <v>0</v>
      </c>
      <c r="C7" s="91">
        <v>18000</v>
      </c>
      <c r="D7" s="91">
        <f>SUM('Reserves 2020'!H11)</f>
        <v>26706.79945054945</v>
      </c>
      <c r="E7" s="58"/>
      <c r="I7" s="36"/>
    </row>
    <row r="8" spans="1:9" ht="25.5" customHeight="1" x14ac:dyDescent="0.55000000000000004">
      <c r="A8" s="87" t="s">
        <v>58</v>
      </c>
      <c r="B8" s="91">
        <v>200</v>
      </c>
      <c r="C8" s="91">
        <v>300</v>
      </c>
      <c r="D8" s="91">
        <v>200</v>
      </c>
      <c r="I8" s="36"/>
    </row>
    <row r="9" spans="1:9" ht="25.5" customHeight="1" x14ac:dyDescent="0.55000000000000004">
      <c r="A9" s="87" t="s">
        <v>59</v>
      </c>
      <c r="B9" s="92">
        <v>150</v>
      </c>
      <c r="C9" s="92">
        <v>100</v>
      </c>
      <c r="D9" s="92">
        <v>100</v>
      </c>
      <c r="I9" s="36"/>
    </row>
    <row r="10" spans="1:9" ht="25.5" customHeight="1" x14ac:dyDescent="0.5">
      <c r="A10" s="90" t="s">
        <v>60</v>
      </c>
      <c r="B10" s="88">
        <f>SUM(B6:B9)</f>
        <v>98515</v>
      </c>
      <c r="C10" s="88">
        <f>SUM(C6:C9)</f>
        <v>138400</v>
      </c>
      <c r="D10" s="88">
        <f>SUM(D46)</f>
        <v>124493.39972527472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325</v>
      </c>
      <c r="C13" s="91">
        <v>2000</v>
      </c>
      <c r="D13" s="91">
        <v>2000</v>
      </c>
      <c r="I13" s="36"/>
    </row>
    <row r="14" spans="1:9" ht="25.5" customHeight="1" x14ac:dyDescent="0.55000000000000004">
      <c r="A14" s="87" t="s">
        <v>2</v>
      </c>
      <c r="B14" s="91">
        <v>140</v>
      </c>
      <c r="C14" s="91">
        <v>110</v>
      </c>
      <c r="D14" s="91">
        <v>140</v>
      </c>
      <c r="I14" s="36"/>
    </row>
    <row r="15" spans="1:9" ht="25.5" customHeight="1" x14ac:dyDescent="0.55000000000000004">
      <c r="A15" s="87" t="s">
        <v>21</v>
      </c>
      <c r="B15" s="91">
        <v>3600</v>
      </c>
      <c r="C15" s="91">
        <v>3000</v>
      </c>
      <c r="D15" s="91">
        <v>3600</v>
      </c>
      <c r="I15" s="36"/>
    </row>
    <row r="16" spans="1:9" ht="25.5" customHeight="1" x14ac:dyDescent="0.55000000000000004">
      <c r="A16" s="87" t="s">
        <v>17</v>
      </c>
      <c r="B16" s="91">
        <v>400</v>
      </c>
      <c r="C16" s="91">
        <v>3800</v>
      </c>
      <c r="D16" s="91">
        <v>4000</v>
      </c>
      <c r="I16" s="36"/>
    </row>
    <row r="17" spans="1:9" ht="25.5" customHeight="1" x14ac:dyDescent="0.55000000000000004">
      <c r="A17" s="87" t="s">
        <v>64</v>
      </c>
      <c r="B17" s="92">
        <v>2000</v>
      </c>
      <c r="C17" s="92">
        <v>2000</v>
      </c>
      <c r="D17" s="92">
        <v>2000</v>
      </c>
      <c r="I17" s="36"/>
    </row>
    <row r="18" spans="1:9" ht="25.5" customHeight="1" x14ac:dyDescent="0.5">
      <c r="A18" s="93" t="s">
        <v>109</v>
      </c>
      <c r="B18" s="88">
        <f>SUM(B13:B17)</f>
        <v>6465</v>
      </c>
      <c r="C18" s="88">
        <f>SUM(C13:C17)</f>
        <v>10910</v>
      </c>
      <c r="D18" s="88">
        <f>SUM(D13:D17)</f>
        <v>11740</v>
      </c>
      <c r="I18" s="36"/>
    </row>
    <row r="19" spans="1:9" ht="25.5" customHeight="1" x14ac:dyDescent="0.55000000000000004">
      <c r="A19" s="93" t="s">
        <v>104</v>
      </c>
      <c r="B19" s="91"/>
      <c r="C19" s="91"/>
      <c r="D19" s="91"/>
      <c r="I19" s="36"/>
    </row>
    <row r="20" spans="1:9" ht="25.5" customHeight="1" x14ac:dyDescent="0.55000000000000004">
      <c r="A20" s="87" t="s">
        <v>3</v>
      </c>
      <c r="B20" s="91">
        <v>13000</v>
      </c>
      <c r="C20" s="91">
        <v>6000</v>
      </c>
      <c r="D20" s="91">
        <v>13000</v>
      </c>
      <c r="I20" s="36"/>
    </row>
    <row r="21" spans="1:9" ht="25.5" customHeight="1" x14ac:dyDescent="0.55000000000000004">
      <c r="A21" s="87" t="s">
        <v>8</v>
      </c>
      <c r="B21" s="91">
        <f>700*12</f>
        <v>8400</v>
      </c>
      <c r="C21" s="91">
        <v>8400</v>
      </c>
      <c r="D21" s="91">
        <f>700*12</f>
        <v>8400</v>
      </c>
      <c r="I21" s="36"/>
    </row>
    <row r="22" spans="1:9" ht="25.5" customHeight="1" x14ac:dyDescent="0.55000000000000004">
      <c r="A22" s="87" t="s">
        <v>138</v>
      </c>
      <c r="B22" s="91">
        <v>1000</v>
      </c>
      <c r="C22" s="91">
        <v>2400</v>
      </c>
      <c r="D22" s="91">
        <v>2500</v>
      </c>
      <c r="I22" s="36"/>
    </row>
    <row r="23" spans="1:9" ht="25.5" customHeight="1" x14ac:dyDescent="0.55000000000000004">
      <c r="A23" s="87" t="s">
        <v>9</v>
      </c>
      <c r="B23" s="91">
        <v>200</v>
      </c>
      <c r="C23" s="91">
        <v>200</v>
      </c>
      <c r="D23" s="91">
        <v>200</v>
      </c>
      <c r="I23" s="36"/>
    </row>
    <row r="24" spans="1:9" ht="25.5" customHeight="1" x14ac:dyDescent="0.55000000000000004">
      <c r="A24" s="87" t="s">
        <v>139</v>
      </c>
      <c r="B24" s="91">
        <v>1000</v>
      </c>
      <c r="C24" s="91">
        <v>900</v>
      </c>
      <c r="D24" s="91">
        <v>1000</v>
      </c>
      <c r="I24" s="36"/>
    </row>
    <row r="25" spans="1:9" ht="25.5" customHeight="1" x14ac:dyDescent="0.55000000000000004">
      <c r="A25" s="87" t="s">
        <v>66</v>
      </c>
      <c r="B25" s="91">
        <v>1500</v>
      </c>
      <c r="C25" s="91">
        <v>5400</v>
      </c>
      <c r="D25" s="91">
        <v>5000</v>
      </c>
      <c r="I25" s="36"/>
    </row>
    <row r="26" spans="1:9" ht="25.5" customHeight="1" x14ac:dyDescent="0.55000000000000004">
      <c r="A26" s="87" t="s">
        <v>4</v>
      </c>
      <c r="B26" s="91">
        <v>2500</v>
      </c>
      <c r="C26" s="91">
        <v>3490</v>
      </c>
      <c r="D26" s="91">
        <v>3500</v>
      </c>
      <c r="I26" s="36"/>
    </row>
    <row r="27" spans="1:9" ht="25.5" customHeight="1" x14ac:dyDescent="0.55000000000000004">
      <c r="A27" s="87" t="s">
        <v>5</v>
      </c>
      <c r="B27" s="91">
        <v>2500</v>
      </c>
      <c r="C27" s="91">
        <v>3600</v>
      </c>
      <c r="D27" s="91">
        <v>3600</v>
      </c>
      <c r="I27" s="36"/>
    </row>
    <row r="28" spans="1:9" ht="25.5" customHeight="1" x14ac:dyDescent="0.55000000000000004">
      <c r="A28" s="87" t="s">
        <v>105</v>
      </c>
      <c r="B28" s="92">
        <v>1500</v>
      </c>
      <c r="C28" s="92">
        <v>1300</v>
      </c>
      <c r="D28" s="92">
        <v>1500</v>
      </c>
      <c r="I28" s="36"/>
    </row>
    <row r="29" spans="1:9" ht="25.5" customHeight="1" x14ac:dyDescent="0.5">
      <c r="A29" s="93" t="s">
        <v>110</v>
      </c>
      <c r="B29" s="88">
        <f>SUM(B20:B28)</f>
        <v>31600</v>
      </c>
      <c r="C29" s="88">
        <f>SUM(C20:C28)</f>
        <v>31690</v>
      </c>
      <c r="D29" s="88">
        <f>SUM(D20:D28)</f>
        <v>38700</v>
      </c>
      <c r="I29" s="36"/>
    </row>
    <row r="30" spans="1:9" ht="25.5" customHeight="1" x14ac:dyDescent="0.55000000000000004">
      <c r="A30" s="93" t="s">
        <v>106</v>
      </c>
      <c r="B30" s="91"/>
      <c r="C30" s="91"/>
      <c r="D30" s="91"/>
      <c r="I30" s="36"/>
    </row>
    <row r="31" spans="1:9" ht="25.5" customHeight="1" x14ac:dyDescent="0.55000000000000004">
      <c r="A31" s="87" t="s">
        <v>6</v>
      </c>
      <c r="B31" s="91">
        <v>6500</v>
      </c>
      <c r="C31" s="91">
        <v>6500</v>
      </c>
      <c r="D31" s="91">
        <v>6500</v>
      </c>
      <c r="I31" s="36"/>
    </row>
    <row r="32" spans="1:9" ht="25.5" customHeight="1" x14ac:dyDescent="0.55000000000000004">
      <c r="A32" s="87" t="s">
        <v>114</v>
      </c>
      <c r="B32" s="91">
        <v>1000</v>
      </c>
      <c r="C32" s="91">
        <v>500</v>
      </c>
      <c r="D32" s="91">
        <v>500</v>
      </c>
      <c r="I32" s="36"/>
    </row>
    <row r="33" spans="1:11" ht="25.5" customHeight="1" x14ac:dyDescent="0.55000000000000004">
      <c r="A33" s="87" t="s">
        <v>61</v>
      </c>
      <c r="B33" s="91">
        <v>3000</v>
      </c>
      <c r="C33" s="91">
        <v>2200</v>
      </c>
      <c r="D33" s="91">
        <v>2500</v>
      </c>
      <c r="I33" s="36"/>
    </row>
    <row r="34" spans="1:11" ht="25.5" customHeight="1" x14ac:dyDescent="0.55000000000000004">
      <c r="A34" s="87" t="s">
        <v>15</v>
      </c>
      <c r="B34" s="91">
        <v>2500</v>
      </c>
      <c r="C34" s="91">
        <v>2500</v>
      </c>
      <c r="D34" s="91">
        <v>2500</v>
      </c>
      <c r="I34" s="36"/>
    </row>
    <row r="35" spans="1:11" ht="25.5" customHeight="1" x14ac:dyDescent="0.55000000000000004">
      <c r="A35" s="87" t="s">
        <v>62</v>
      </c>
      <c r="B35" s="92">
        <v>1500</v>
      </c>
      <c r="C35" s="92">
        <v>0</v>
      </c>
      <c r="D35" s="92">
        <v>500</v>
      </c>
      <c r="I35" s="36"/>
    </row>
    <row r="36" spans="1:11" ht="25.5" customHeight="1" x14ac:dyDescent="0.5">
      <c r="A36" s="93" t="s">
        <v>111</v>
      </c>
      <c r="B36" s="88">
        <f>SUM(B31:B35)</f>
        <v>14500</v>
      </c>
      <c r="C36" s="88">
        <f>SUM(C31:C35)</f>
        <v>11700</v>
      </c>
      <c r="D36" s="88">
        <f>SUM(D31:D35)</f>
        <v>12500</v>
      </c>
      <c r="I36" s="36"/>
    </row>
    <row r="37" spans="1:11" ht="25.5" customHeight="1" x14ac:dyDescent="0.55000000000000004">
      <c r="A37" s="93" t="s">
        <v>107</v>
      </c>
      <c r="B37" s="91"/>
      <c r="C37" s="91"/>
      <c r="D37" s="91"/>
      <c r="I37" s="36"/>
    </row>
    <row r="38" spans="1:11" ht="25.5" customHeight="1" x14ac:dyDescent="0.55000000000000004">
      <c r="A38" s="87" t="s">
        <v>12</v>
      </c>
      <c r="B38" s="91">
        <v>8800</v>
      </c>
      <c r="C38" s="91">
        <v>7500</v>
      </c>
      <c r="D38" s="91">
        <v>8000</v>
      </c>
      <c r="I38" s="36"/>
    </row>
    <row r="39" spans="1:11" ht="25.5" customHeight="1" x14ac:dyDescent="0.55000000000000004">
      <c r="A39" s="87" t="s">
        <v>13</v>
      </c>
      <c r="B39" s="91">
        <v>5800</v>
      </c>
      <c r="C39" s="91">
        <v>3000</v>
      </c>
      <c r="D39" s="91">
        <v>4000</v>
      </c>
      <c r="E39" s="36">
        <f>2208*12</f>
        <v>26496</v>
      </c>
      <c r="I39" s="36"/>
    </row>
    <row r="40" spans="1:11" ht="25.5" customHeight="1" x14ac:dyDescent="0.55000000000000004">
      <c r="A40" s="87" t="s">
        <v>14</v>
      </c>
      <c r="B40" s="92">
        <v>3000</v>
      </c>
      <c r="C40" s="92">
        <v>4200</v>
      </c>
      <c r="D40" s="92">
        <v>4200</v>
      </c>
      <c r="I40" s="36"/>
    </row>
    <row r="41" spans="1:11" ht="25.5" customHeight="1" x14ac:dyDescent="0.5">
      <c r="A41" s="93" t="s">
        <v>112</v>
      </c>
      <c r="B41" s="88">
        <f>SUM(B38:B40)</f>
        <v>17600</v>
      </c>
      <c r="C41" s="88">
        <f>SUM(C38:C40)</f>
        <v>14700</v>
      </c>
      <c r="D41" s="88">
        <f>SUM(D38:D40)</f>
        <v>16200</v>
      </c>
      <c r="I41" s="36"/>
    </row>
    <row r="42" spans="1:11" ht="25.5" customHeight="1" x14ac:dyDescent="0.5">
      <c r="A42" s="93" t="s">
        <v>146</v>
      </c>
      <c r="B42" s="88">
        <v>0</v>
      </c>
      <c r="C42" s="88">
        <v>26496</v>
      </c>
      <c r="D42" s="88">
        <f>SUM('Reserves 2020'!I11)</f>
        <v>13353.399725274725</v>
      </c>
      <c r="I42" s="36"/>
    </row>
    <row r="43" spans="1:11" ht="25.5" customHeight="1" x14ac:dyDescent="0.55000000000000004">
      <c r="A43" s="93" t="s">
        <v>108</v>
      </c>
      <c r="B43" s="91"/>
      <c r="C43" s="91"/>
      <c r="D43" s="91"/>
      <c r="I43" s="36"/>
    </row>
    <row r="44" spans="1:11" ht="25.5" customHeight="1" x14ac:dyDescent="0.55000000000000004">
      <c r="A44" s="87" t="s">
        <v>115</v>
      </c>
      <c r="B44" s="91">
        <v>28000</v>
      </c>
      <c r="C44" s="91">
        <v>28000</v>
      </c>
      <c r="D44" s="91">
        <v>32000</v>
      </c>
      <c r="I44" s="36"/>
    </row>
    <row r="45" spans="1:11" ht="25.5" customHeight="1" x14ac:dyDescent="0.5">
      <c r="A45" s="93" t="s">
        <v>113</v>
      </c>
      <c r="B45" s="88">
        <f>SUM(B44:B44)</f>
        <v>28000</v>
      </c>
      <c r="C45" s="88">
        <f>SUM(C44:C44)</f>
        <v>28000</v>
      </c>
      <c r="D45" s="88">
        <f>SUM(D44:D44)</f>
        <v>32000</v>
      </c>
      <c r="I45" s="36"/>
    </row>
    <row r="46" spans="1:11" ht="25.5" customHeight="1" x14ac:dyDescent="0.5">
      <c r="A46" s="93" t="s">
        <v>23</v>
      </c>
      <c r="B46" s="88">
        <f>B18+B29+B36+B41+B45</f>
        <v>98165</v>
      </c>
      <c r="C46" s="88">
        <f>SUM(C45+C41+C36+C29+C18+C42)</f>
        <v>123496</v>
      </c>
      <c r="D46" s="88">
        <f>SUM(D44+D42+D41+D36+D29+D18)</f>
        <v>124493.39972527472</v>
      </c>
      <c r="I46" s="36"/>
    </row>
    <row r="47" spans="1:11" ht="31.2" thickBot="1" x14ac:dyDescent="0.6">
      <c r="A47" s="87"/>
      <c r="B47" s="91"/>
      <c r="C47" s="91"/>
      <c r="D47" s="91"/>
    </row>
    <row r="48" spans="1:11" s="48" customFormat="1" ht="30" x14ac:dyDescent="0.5">
      <c r="A48" s="94" t="s">
        <v>41</v>
      </c>
      <c r="B48" s="95" t="s">
        <v>65</v>
      </c>
      <c r="C48" s="96" t="s">
        <v>131</v>
      </c>
      <c r="D48" s="97"/>
      <c r="G48" s="49"/>
      <c r="H48" s="50"/>
      <c r="I48" s="49"/>
      <c r="J48" s="49"/>
      <c r="K48" s="49"/>
    </row>
    <row r="49" spans="1:11" s="48" customFormat="1" ht="36" customHeight="1" x14ac:dyDescent="0.55000000000000004">
      <c r="A49" s="98" t="s">
        <v>33</v>
      </c>
      <c r="B49" s="99">
        <v>5.1139999999999998E-2</v>
      </c>
      <c r="C49" s="100">
        <f>SUM(D6*B49)/12</f>
        <v>415.45539483745415</v>
      </c>
      <c r="D49" s="91">
        <f>C49*6*12</f>
        <v>29912.788428296699</v>
      </c>
      <c r="E49" s="57"/>
      <c r="F49" s="57"/>
      <c r="G49" s="47"/>
      <c r="H49" s="50">
        <f>SUM(C49*6*12)</f>
        <v>29912.788428296699</v>
      </c>
      <c r="I49" s="47"/>
      <c r="J49" s="47"/>
      <c r="K49" s="47"/>
    </row>
    <row r="50" spans="1:11" s="48" customFormat="1" ht="36" customHeight="1" x14ac:dyDescent="0.55000000000000004">
      <c r="A50" s="98" t="s">
        <v>34</v>
      </c>
      <c r="B50" s="99">
        <v>5.679E-2</v>
      </c>
      <c r="C50" s="100">
        <f>SUM(D6*B50)/12</f>
        <v>461.35533580013731</v>
      </c>
      <c r="D50" s="91">
        <f>C50*6*12</f>
        <v>33217.58417760989</v>
      </c>
      <c r="E50" s="57"/>
      <c r="F50" s="57"/>
      <c r="G50" s="47"/>
      <c r="H50" s="50">
        <f>SUM(C50*6*12)</f>
        <v>33217.58417760989</v>
      </c>
      <c r="I50" s="47"/>
      <c r="J50" s="47"/>
      <c r="K50" s="47"/>
    </row>
    <row r="51" spans="1:11" s="48" customFormat="1" ht="36" customHeight="1" x14ac:dyDescent="0.55000000000000004">
      <c r="A51" s="98" t="s">
        <v>35</v>
      </c>
      <c r="B51" s="99">
        <v>5.5509999999999997E-2</v>
      </c>
      <c r="C51" s="100">
        <f>SUM(D6*B51)/12</f>
        <v>450.95676510416661</v>
      </c>
      <c r="D51" s="91">
        <f>C51*3*12</f>
        <v>16234.443543749998</v>
      </c>
      <c r="E51" s="57"/>
      <c r="F51" s="57"/>
      <c r="G51" s="47"/>
      <c r="H51" s="50">
        <f>SUM(C51*3*12)</f>
        <v>16234.443543749998</v>
      </c>
      <c r="I51" s="47"/>
      <c r="J51" s="47"/>
      <c r="K51" s="47"/>
    </row>
    <row r="52" spans="1:11" s="48" customFormat="1" ht="36" customHeight="1" x14ac:dyDescent="0.55000000000000004">
      <c r="A52" s="101" t="s">
        <v>36</v>
      </c>
      <c r="B52" s="99">
        <v>5.7230000000000003E-2</v>
      </c>
      <c r="C52" s="100">
        <f>SUM(D6*B52)/12</f>
        <v>464.92984447687724</v>
      </c>
      <c r="D52" s="91">
        <f>C52*12</f>
        <v>5579.1581337225271</v>
      </c>
      <c r="E52" s="57"/>
      <c r="F52" s="57"/>
      <c r="G52" s="47"/>
      <c r="H52" s="50">
        <f>SUM(C52*1*12)</f>
        <v>5579.1581337225271</v>
      </c>
      <c r="I52" s="47"/>
      <c r="J52" s="47"/>
      <c r="K52" s="47"/>
    </row>
    <row r="53" spans="1:11" s="48" customFormat="1" ht="36" customHeight="1" x14ac:dyDescent="0.55000000000000004">
      <c r="A53" s="101" t="s">
        <v>92</v>
      </c>
      <c r="B53" s="99">
        <v>5.9200000000000003E-2</v>
      </c>
      <c r="C53" s="100">
        <f>SUM(D6*B53)/12</f>
        <v>480.93389468864467</v>
      </c>
      <c r="D53" s="91">
        <f>C53*12</f>
        <v>5771.2067362637363</v>
      </c>
      <c r="E53" s="57"/>
      <c r="F53" s="57"/>
      <c r="G53" s="47"/>
      <c r="H53" s="50">
        <f>SUM(C53*12)</f>
        <v>5771.2067362637363</v>
      </c>
      <c r="I53" s="47"/>
      <c r="J53" s="47"/>
      <c r="K53" s="47"/>
    </row>
    <row r="54" spans="1:11" s="48" customFormat="1" ht="36" customHeight="1" thickBot="1" x14ac:dyDescent="0.6">
      <c r="A54" s="102" t="s">
        <v>38</v>
      </c>
      <c r="B54" s="103">
        <v>6.9459999999999994E-2</v>
      </c>
      <c r="C54" s="104">
        <f>SUM(D6*B54)/12</f>
        <v>564.2849379235347</v>
      </c>
      <c r="D54" s="91">
        <f>C54*12</f>
        <v>6771.4192550824164</v>
      </c>
      <c r="E54" s="57"/>
      <c r="F54" s="57"/>
      <c r="G54" s="47"/>
      <c r="H54" s="50">
        <f>SUM(C54*12)</f>
        <v>6771.4192550824164</v>
      </c>
      <c r="I54" s="47"/>
      <c r="J54" s="47"/>
      <c r="K54" s="47"/>
    </row>
    <row r="55" spans="1:11" x14ac:dyDescent="0.4">
      <c r="B55" s="37"/>
      <c r="D55" s="41">
        <f>SUM(D49:D54)</f>
        <v>97486.600274725264</v>
      </c>
      <c r="F55" s="58"/>
      <c r="H55" s="41">
        <f>SUM(H49:H54)</f>
        <v>97486.600274725264</v>
      </c>
    </row>
    <row r="56" spans="1:11" x14ac:dyDescent="0.4">
      <c r="I56" s="41"/>
    </row>
    <row r="60" spans="1:11" x14ac:dyDescent="0.4">
      <c r="I60" s="41"/>
    </row>
  </sheetData>
  <mergeCells count="2">
    <mergeCell ref="A1:D1"/>
    <mergeCell ref="A2:D2"/>
  </mergeCells>
  <pageMargins left="0.25" right="0.25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3BA1-BAFD-7242-8CF0-8D6BE0B62C68}">
  <dimension ref="A2:I27"/>
  <sheetViews>
    <sheetView workbookViewId="0">
      <selection activeCell="E13" sqref="E13:E19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6384" width="8.796875" style="68"/>
  </cols>
  <sheetData>
    <row r="2" spans="1:9" x14ac:dyDescent="0.3">
      <c r="A2" s="159" t="s">
        <v>140</v>
      </c>
      <c r="B2" s="171"/>
      <c r="C2" s="171"/>
      <c r="D2" s="171"/>
      <c r="E2" s="171"/>
      <c r="F2" s="171"/>
      <c r="G2" s="171"/>
      <c r="H2" s="171"/>
      <c r="I2" s="171"/>
    </row>
    <row r="3" spans="1:9" x14ac:dyDescent="0.3">
      <c r="A3" s="172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7" t="s">
        <v>141</v>
      </c>
    </row>
    <row r="4" spans="1:9" x14ac:dyDescent="0.3">
      <c r="A4" s="173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141</v>
      </c>
      <c r="I4" s="173"/>
    </row>
    <row r="5" spans="1:9" ht="28.8" x14ac:dyDescent="0.3">
      <c r="A5" s="69"/>
      <c r="B5" s="69"/>
      <c r="C5" s="69"/>
      <c r="D5" s="69" t="s">
        <v>80</v>
      </c>
      <c r="E5" s="70">
        <v>43830</v>
      </c>
      <c r="F5" s="69" t="s">
        <v>81</v>
      </c>
      <c r="G5" s="69" t="s">
        <v>82</v>
      </c>
      <c r="H5" s="69" t="s">
        <v>83</v>
      </c>
      <c r="I5" s="71" t="s">
        <v>118</v>
      </c>
    </row>
    <row r="6" spans="1:9" x14ac:dyDescent="0.3">
      <c r="A6" s="72" t="s">
        <v>27</v>
      </c>
      <c r="B6" s="73">
        <v>7</v>
      </c>
      <c r="C6" s="74">
        <v>80000</v>
      </c>
      <c r="D6" s="75">
        <v>0.3</v>
      </c>
      <c r="E6" s="76">
        <v>5000</v>
      </c>
      <c r="F6" s="73">
        <v>7</v>
      </c>
      <c r="G6" s="76">
        <f>C6-E6</f>
        <v>75000</v>
      </c>
      <c r="H6" s="76">
        <f>SUM(G6/F6)</f>
        <v>10714.285714285714</v>
      </c>
      <c r="I6" s="76">
        <f>SUM(H6*0.5)</f>
        <v>5357.1428571428569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0.4</v>
      </c>
      <c r="E7" s="76">
        <v>34400</v>
      </c>
      <c r="F7" s="73">
        <v>13</v>
      </c>
      <c r="G7" s="76">
        <f>C7-E7</f>
        <v>45600</v>
      </c>
      <c r="H7" s="76">
        <f>SUM(G7/F7)</f>
        <v>3507.6923076923076</v>
      </c>
      <c r="I7" s="76">
        <f>SUM(H7*0.5)</f>
        <v>1753.8461538461538</v>
      </c>
    </row>
    <row r="8" spans="1:9" x14ac:dyDescent="0.3">
      <c r="A8" s="72" t="s">
        <v>85</v>
      </c>
      <c r="B8" s="73">
        <v>15</v>
      </c>
      <c r="C8" s="74">
        <v>60000</v>
      </c>
      <c r="D8" s="75">
        <v>0.05</v>
      </c>
      <c r="E8" s="76">
        <f>SUM(E11*D8)</f>
        <v>3300</v>
      </c>
      <c r="F8" s="73">
        <v>6</v>
      </c>
      <c r="G8" s="76">
        <f>C8-E8</f>
        <v>56700</v>
      </c>
      <c r="H8" s="76">
        <f>SUM(G8/F8)</f>
        <v>9450</v>
      </c>
      <c r="I8" s="76">
        <f>SUM(H8*0.5)</f>
        <v>4725</v>
      </c>
    </row>
    <row r="9" spans="1:9" x14ac:dyDescent="0.3">
      <c r="A9" s="72" t="s">
        <v>28</v>
      </c>
      <c r="B9" s="73">
        <v>30</v>
      </c>
      <c r="C9" s="74">
        <v>60000</v>
      </c>
      <c r="D9" s="75">
        <v>0.2</v>
      </c>
      <c r="E9" s="76">
        <v>20000</v>
      </c>
      <c r="F9" s="73">
        <v>28</v>
      </c>
      <c r="G9" s="76">
        <f>SUM(C9-E9)</f>
        <v>40000</v>
      </c>
      <c r="H9" s="76">
        <f>SUM(G9/F9)</f>
        <v>1428.5714285714287</v>
      </c>
      <c r="I9" s="76">
        <f>SUM(H9*0.5)</f>
        <v>714.28571428571433</v>
      </c>
    </row>
    <row r="10" spans="1:9" x14ac:dyDescent="0.3">
      <c r="A10" s="72" t="s">
        <v>30</v>
      </c>
      <c r="B10" s="73">
        <v>25</v>
      </c>
      <c r="C10" s="74">
        <v>29000</v>
      </c>
      <c r="D10" s="75">
        <v>0.05</v>
      </c>
      <c r="E10" s="76">
        <f>SUM(E11*D10)</f>
        <v>3300</v>
      </c>
      <c r="F10" s="73">
        <v>16</v>
      </c>
      <c r="G10" s="76">
        <f>C10-E10</f>
        <v>25700</v>
      </c>
      <c r="H10" s="76">
        <f>SUM(G10/F10)</f>
        <v>1606.25</v>
      </c>
      <c r="I10" s="76">
        <f>SUM(H10*0.5)</f>
        <v>803.125</v>
      </c>
    </row>
    <row r="11" spans="1:9" x14ac:dyDescent="0.3">
      <c r="A11" s="72" t="s">
        <v>86</v>
      </c>
      <c r="B11" s="69"/>
      <c r="C11" s="77">
        <f>SUM(C6:C8)</f>
        <v>220000</v>
      </c>
      <c r="D11" s="78">
        <f>SUM(D6:D10)</f>
        <v>1</v>
      </c>
      <c r="E11" s="79">
        <v>66000</v>
      </c>
      <c r="F11" s="69"/>
      <c r="G11" s="79">
        <f>C11-E11</f>
        <v>154000</v>
      </c>
      <c r="H11" s="79">
        <f>SUM(H6:H10)</f>
        <v>26706.79945054945</v>
      </c>
      <c r="I11" s="79">
        <f>SUM(I6:I10)</f>
        <v>13353.399725274725</v>
      </c>
    </row>
    <row r="13" spans="1:9" ht="69" x14ac:dyDescent="0.3">
      <c r="A13" s="80" t="s">
        <v>41</v>
      </c>
      <c r="B13" s="81" t="s">
        <v>65</v>
      </c>
      <c r="C13" s="81" t="s">
        <v>67</v>
      </c>
      <c r="D13" s="82" t="s">
        <v>87</v>
      </c>
      <c r="E13" s="105" t="s">
        <v>88</v>
      </c>
      <c r="F13" s="82" t="s">
        <v>121</v>
      </c>
      <c r="G13" s="82" t="s">
        <v>119</v>
      </c>
      <c r="I13" s="107">
        <f>H11/12</f>
        <v>2225.5666208791208</v>
      </c>
    </row>
    <row r="14" spans="1:9" x14ac:dyDescent="0.3">
      <c r="A14" s="83" t="s">
        <v>33</v>
      </c>
      <c r="B14" s="84">
        <v>5.1139999999999998E-2</v>
      </c>
      <c r="C14" s="85">
        <f>SUM('Budget 2020'!C49)</f>
        <v>415.45539483745415</v>
      </c>
      <c r="D14" s="86">
        <f>SUM(H11*B14/12)</f>
        <v>113.81547699175825</v>
      </c>
      <c r="E14" s="106">
        <f t="shared" ref="E14:E19" si="0">SUM(C14+D14)</f>
        <v>529.27087182921241</v>
      </c>
      <c r="F14" s="86">
        <f>SUM(I11*B14/12)</f>
        <v>56.907738495879123</v>
      </c>
      <c r="G14" s="85">
        <f t="shared" ref="G14:G19" si="1">SUM(C14+F14)</f>
        <v>472.36313333333328</v>
      </c>
    </row>
    <row r="15" spans="1:9" x14ac:dyDescent="0.3">
      <c r="A15" s="83" t="s">
        <v>34</v>
      </c>
      <c r="B15" s="84">
        <v>5.679E-2</v>
      </c>
      <c r="C15" s="85">
        <f>SUM('Budget 2020'!C50)</f>
        <v>461.35533580013731</v>
      </c>
      <c r="D15" s="86">
        <f>SUM(H11*B15/12)</f>
        <v>126.38992839972526</v>
      </c>
      <c r="E15" s="106">
        <f t="shared" si="0"/>
        <v>587.74526419986262</v>
      </c>
      <c r="F15" s="86">
        <f>SUM(I11*B15/12)</f>
        <v>63.194964199862632</v>
      </c>
      <c r="G15" s="85">
        <f t="shared" si="1"/>
        <v>524.55029999999999</v>
      </c>
    </row>
    <row r="16" spans="1:9" x14ac:dyDescent="0.3">
      <c r="A16" s="83" t="s">
        <v>35</v>
      </c>
      <c r="B16" s="84">
        <v>5.5509999999999997E-2</v>
      </c>
      <c r="C16" s="85">
        <f>SUM('Budget 2020'!C51)</f>
        <v>450.95676510416661</v>
      </c>
      <c r="D16" s="86">
        <f>SUM(H11*B16/12)</f>
        <v>123.54120312499998</v>
      </c>
      <c r="E16" s="106">
        <f t="shared" si="0"/>
        <v>574.49796822916664</v>
      </c>
      <c r="F16" s="86">
        <f>SUM(I11*B16/12)</f>
        <v>61.770601562499991</v>
      </c>
      <c r="G16" s="85">
        <f t="shared" si="1"/>
        <v>512.72736666666663</v>
      </c>
    </row>
    <row r="17" spans="1:8" x14ac:dyDescent="0.3">
      <c r="A17" s="83" t="s">
        <v>36</v>
      </c>
      <c r="B17" s="84">
        <v>5.7230000000000003E-2</v>
      </c>
      <c r="C17" s="85">
        <f>SUM('Budget 2020'!C52)</f>
        <v>464.92984447687724</v>
      </c>
      <c r="D17" s="86">
        <f>SUM(H11*B17/12)</f>
        <v>127.3691777129121</v>
      </c>
      <c r="E17" s="106">
        <f t="shared" si="0"/>
        <v>592.2990221897893</v>
      </c>
      <c r="F17" s="86">
        <f>SUM(I11*B17/12)</f>
        <v>63.684588856456052</v>
      </c>
      <c r="G17" s="85">
        <f t="shared" si="1"/>
        <v>528.6144333333333</v>
      </c>
    </row>
    <row r="18" spans="1:8" x14ac:dyDescent="0.3">
      <c r="A18" s="83" t="s">
        <v>92</v>
      </c>
      <c r="B18" s="84">
        <v>5.9200000000000003E-2</v>
      </c>
      <c r="C18" s="85">
        <f>SUM('Budget 2020'!C53)</f>
        <v>480.93389468864467</v>
      </c>
      <c r="D18" s="86">
        <f>SUM(H11*B18/12)</f>
        <v>131.75354395604396</v>
      </c>
      <c r="E18" s="106">
        <f t="shared" si="0"/>
        <v>612.68743864468865</v>
      </c>
      <c r="F18" s="86">
        <f>SUM(I11*B18/12)</f>
        <v>65.876771978021978</v>
      </c>
      <c r="G18" s="85">
        <f t="shared" si="1"/>
        <v>546.81066666666663</v>
      </c>
    </row>
    <row r="19" spans="1:8" x14ac:dyDescent="0.3">
      <c r="A19" s="83" t="s">
        <v>38</v>
      </c>
      <c r="B19" s="84">
        <v>6.9459999999999994E-2</v>
      </c>
      <c r="C19" s="85">
        <f>SUM('Budget 2020'!C54)</f>
        <v>564.2849379235347</v>
      </c>
      <c r="D19" s="86">
        <f>SUM(H11*B19/12)</f>
        <v>154.58785748626372</v>
      </c>
      <c r="E19" s="106">
        <f t="shared" si="0"/>
        <v>718.87279540979841</v>
      </c>
      <c r="F19" s="86">
        <f>SUM(I11*B19/12)</f>
        <v>77.293928743131858</v>
      </c>
      <c r="G19" s="85">
        <f t="shared" si="1"/>
        <v>641.5788666666665</v>
      </c>
    </row>
    <row r="20" spans="1:8" ht="16.2" thickBot="1" x14ac:dyDescent="0.35"/>
    <row r="21" spans="1:8" x14ac:dyDescent="0.3">
      <c r="A21" s="174" t="s">
        <v>91</v>
      </c>
      <c r="B21" s="175"/>
      <c r="C21" s="175"/>
      <c r="D21" s="175"/>
      <c r="E21" s="175"/>
      <c r="F21" s="175"/>
      <c r="G21" s="175"/>
      <c r="H21" s="176"/>
    </row>
    <row r="22" spans="1:8" ht="16.2" thickBot="1" x14ac:dyDescent="0.35">
      <c r="A22" s="177"/>
      <c r="B22" s="178"/>
      <c r="C22" s="178"/>
      <c r="D22" s="178"/>
      <c r="E22" s="178"/>
      <c r="F22" s="178"/>
      <c r="G22" s="178"/>
      <c r="H22" s="179"/>
    </row>
    <row r="27" spans="1:8" x14ac:dyDescent="0.3">
      <c r="C27" s="68">
        <f>100000-34400</f>
        <v>65600</v>
      </c>
    </row>
  </sheetData>
  <mergeCells count="4">
    <mergeCell ref="A2:I2"/>
    <mergeCell ref="A3:A4"/>
    <mergeCell ref="I3:I4"/>
    <mergeCell ref="A21:H22"/>
  </mergeCells>
  <pageMargins left="0.2" right="0.2" top="0.75" bottom="0.4" header="0.3" footer="0.3"/>
  <pageSetup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4A0B1-BBCF-4A4F-AEAD-EF86FAE94338}">
  <dimension ref="A1:K58"/>
  <sheetViews>
    <sheetView view="pageBreakPreview" zoomScale="60" zoomScaleSheetLayoutView="40" workbookViewId="0">
      <selection activeCell="B57" sqref="B57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9" t="s">
        <v>149</v>
      </c>
      <c r="B1" s="169"/>
      <c r="C1" s="169"/>
      <c r="D1" s="169"/>
    </row>
    <row r="2" spans="1:9" ht="54" customHeight="1" x14ac:dyDescent="0.4">
      <c r="A2" s="170" t="s">
        <v>150</v>
      </c>
      <c r="B2" s="170"/>
      <c r="C2" s="170"/>
      <c r="D2" s="170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99</v>
      </c>
    </row>
    <row r="4" spans="1:9" ht="25.5" customHeight="1" x14ac:dyDescent="0.55000000000000004">
      <c r="A4" s="87"/>
      <c r="B4" s="89" t="s">
        <v>145</v>
      </c>
      <c r="C4" s="88" t="s">
        <v>151</v>
      </c>
      <c r="D4" s="89" t="s">
        <v>152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91">
        <f>SUM(B10-B9-B8-B7)</f>
        <v>264340</v>
      </c>
      <c r="C6" s="91">
        <v>97486.6</v>
      </c>
      <c r="D6" s="108">
        <v>97486.6</v>
      </c>
      <c r="I6" s="36"/>
    </row>
    <row r="7" spans="1:9" ht="25.5" customHeight="1" x14ac:dyDescent="0.55000000000000004">
      <c r="A7" s="87" t="s">
        <v>132</v>
      </c>
      <c r="B7" s="91">
        <f>SUM('Reserves 2020'!F11)</f>
        <v>0</v>
      </c>
      <c r="C7" s="91">
        <v>26706.799999999999</v>
      </c>
      <c r="D7" s="108">
        <v>0</v>
      </c>
      <c r="E7" s="58"/>
      <c r="I7" s="36"/>
    </row>
    <row r="8" spans="1:9" ht="25.5" customHeight="1" x14ac:dyDescent="0.55000000000000004">
      <c r="A8" s="87" t="s">
        <v>58</v>
      </c>
      <c r="B8" s="91">
        <v>200</v>
      </c>
      <c r="C8" s="91">
        <v>125</v>
      </c>
      <c r="D8" s="108">
        <v>100</v>
      </c>
      <c r="I8" s="36"/>
    </row>
    <row r="9" spans="1:9" ht="25.5" customHeight="1" x14ac:dyDescent="0.55000000000000004">
      <c r="A9" s="87" t="s">
        <v>59</v>
      </c>
      <c r="B9" s="92">
        <v>100</v>
      </c>
      <c r="C9" s="92">
        <v>11</v>
      </c>
      <c r="D9" s="109">
        <v>11</v>
      </c>
      <c r="I9" s="36"/>
    </row>
    <row r="10" spans="1:9" ht="25.5" customHeight="1" x14ac:dyDescent="0.5">
      <c r="A10" s="90" t="s">
        <v>60</v>
      </c>
      <c r="B10" s="88">
        <f>SUM(B44)</f>
        <v>264640</v>
      </c>
      <c r="C10" s="88">
        <f>SUM(C6:C9)</f>
        <v>124329.40000000001</v>
      </c>
      <c r="D10" s="110">
        <f>SUM(D6:D9)</f>
        <v>97597.6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2000</v>
      </c>
      <c r="C13" s="91">
        <v>220</v>
      </c>
      <c r="D13" s="91">
        <v>300</v>
      </c>
      <c r="I13" s="36"/>
    </row>
    <row r="14" spans="1:9" ht="25.5" customHeight="1" x14ac:dyDescent="0.55000000000000004">
      <c r="A14" s="87" t="s">
        <v>2</v>
      </c>
      <c r="B14" s="91">
        <v>140</v>
      </c>
      <c r="C14" s="91">
        <v>100</v>
      </c>
      <c r="D14" s="91">
        <v>120</v>
      </c>
      <c r="I14" s="36"/>
    </row>
    <row r="15" spans="1:9" ht="25.5" customHeight="1" x14ac:dyDescent="0.55000000000000004">
      <c r="A15" s="87" t="s">
        <v>21</v>
      </c>
      <c r="B15" s="91">
        <v>3600</v>
      </c>
      <c r="C15" s="91">
        <f>1500*2</f>
        <v>3000</v>
      </c>
      <c r="D15" s="91">
        <v>3600</v>
      </c>
      <c r="I15" s="36"/>
    </row>
    <row r="16" spans="1:9" ht="25.5" customHeight="1" x14ac:dyDescent="0.55000000000000004">
      <c r="A16" s="87" t="s">
        <v>17</v>
      </c>
      <c r="B16" s="91">
        <v>4000</v>
      </c>
      <c r="C16" s="91">
        <v>3200</v>
      </c>
      <c r="D16" s="91">
        <v>3500</v>
      </c>
      <c r="I16" s="36"/>
    </row>
    <row r="17" spans="1:9" ht="25.5" customHeight="1" x14ac:dyDescent="0.55000000000000004">
      <c r="A17" s="87" t="s">
        <v>64</v>
      </c>
      <c r="B17" s="92">
        <v>2000</v>
      </c>
      <c r="C17" s="92">
        <v>240</v>
      </c>
      <c r="D17" s="92">
        <v>500</v>
      </c>
      <c r="I17" s="36"/>
    </row>
    <row r="18" spans="1:9" ht="25.5" customHeight="1" x14ac:dyDescent="0.5">
      <c r="A18" s="93" t="s">
        <v>109</v>
      </c>
      <c r="B18" s="88">
        <f>SUM(B13:B17)</f>
        <v>11740</v>
      </c>
      <c r="C18" s="88">
        <f>SUM(C13:C17)</f>
        <v>6760</v>
      </c>
      <c r="D18" s="88">
        <f>SUM(D13:D17)</f>
        <v>8020</v>
      </c>
      <c r="I18" s="36"/>
    </row>
    <row r="19" spans="1:9" ht="25.5" customHeight="1" x14ac:dyDescent="0.55000000000000004">
      <c r="A19" s="93" t="s">
        <v>104</v>
      </c>
      <c r="B19" s="91"/>
      <c r="C19" s="91"/>
      <c r="D19" s="91"/>
      <c r="I19" s="36"/>
    </row>
    <row r="20" spans="1:9" ht="25.5" customHeight="1" x14ac:dyDescent="0.55000000000000004">
      <c r="A20" s="87" t="s">
        <v>3</v>
      </c>
      <c r="B20" s="91">
        <v>13200</v>
      </c>
      <c r="C20" s="91">
        <v>11000</v>
      </c>
      <c r="D20" s="91">
        <v>9890</v>
      </c>
      <c r="I20" s="36"/>
    </row>
    <row r="21" spans="1:9" ht="25.5" customHeight="1" x14ac:dyDescent="0.55000000000000004">
      <c r="A21" s="87" t="s">
        <v>8</v>
      </c>
      <c r="B21" s="91">
        <f>700*12</f>
        <v>8400</v>
      </c>
      <c r="C21" s="91">
        <f>800*12</f>
        <v>9600</v>
      </c>
      <c r="D21" s="91">
        <v>9600</v>
      </c>
      <c r="I21" s="36"/>
    </row>
    <row r="22" spans="1:9" ht="25.5" customHeight="1" x14ac:dyDescent="0.55000000000000004">
      <c r="A22" s="87" t="s">
        <v>138</v>
      </c>
      <c r="B22" s="91">
        <v>2500</v>
      </c>
      <c r="C22" s="91">
        <v>300</v>
      </c>
      <c r="D22" s="91">
        <v>1200</v>
      </c>
      <c r="I22" s="36"/>
    </row>
    <row r="23" spans="1:9" ht="25.5" customHeight="1" x14ac:dyDescent="0.55000000000000004">
      <c r="A23" s="87" t="s">
        <v>139</v>
      </c>
      <c r="B23" s="91">
        <v>1000</v>
      </c>
      <c r="C23" s="91">
        <v>700</v>
      </c>
      <c r="D23" s="91">
        <v>800</v>
      </c>
      <c r="I23" s="36"/>
    </row>
    <row r="24" spans="1:9" ht="25.5" customHeight="1" x14ac:dyDescent="0.55000000000000004">
      <c r="A24" s="87" t="s">
        <v>66</v>
      </c>
      <c r="B24" s="91">
        <v>5000</v>
      </c>
      <c r="C24" s="91">
        <f>372*2</f>
        <v>744</v>
      </c>
      <c r="D24" s="91">
        <v>1000</v>
      </c>
      <c r="I24" s="36"/>
    </row>
    <row r="25" spans="1:9" ht="25.5" customHeight="1" x14ac:dyDescent="0.55000000000000004">
      <c r="A25" s="87" t="s">
        <v>4</v>
      </c>
      <c r="B25" s="91">
        <v>3500</v>
      </c>
      <c r="C25" s="91">
        <v>15000</v>
      </c>
      <c r="D25" s="91">
        <v>3000</v>
      </c>
      <c r="I25" s="36"/>
    </row>
    <row r="26" spans="1:9" ht="25.5" customHeight="1" x14ac:dyDescent="0.55000000000000004">
      <c r="A26" s="87" t="s">
        <v>5</v>
      </c>
      <c r="B26" s="91">
        <v>3600</v>
      </c>
      <c r="C26" s="91">
        <v>3500</v>
      </c>
      <c r="D26" s="91">
        <v>3700</v>
      </c>
      <c r="I26" s="36"/>
    </row>
    <row r="27" spans="1:9" ht="25.5" customHeight="1" x14ac:dyDescent="0.55000000000000004">
      <c r="A27" s="87" t="s">
        <v>105</v>
      </c>
      <c r="B27" s="92">
        <v>1500</v>
      </c>
      <c r="C27" s="92">
        <v>1300</v>
      </c>
      <c r="D27" s="92">
        <v>1200</v>
      </c>
      <c r="I27" s="36"/>
    </row>
    <row r="28" spans="1:9" ht="25.5" customHeight="1" x14ac:dyDescent="0.5">
      <c r="A28" s="93" t="s">
        <v>110</v>
      </c>
      <c r="B28" s="88">
        <f>SUM(B20:B27)</f>
        <v>38700</v>
      </c>
      <c r="C28" s="88">
        <f>SUM(C20:C27)</f>
        <v>42144</v>
      </c>
      <c r="D28" s="88">
        <f>SUM(D20:D27)</f>
        <v>30390</v>
      </c>
      <c r="I28" s="36"/>
    </row>
    <row r="29" spans="1:9" ht="25.5" customHeight="1" x14ac:dyDescent="0.55000000000000004">
      <c r="A29" s="93" t="s">
        <v>106</v>
      </c>
      <c r="B29" s="91"/>
      <c r="C29" s="91"/>
      <c r="D29" s="91"/>
      <c r="I29" s="36"/>
    </row>
    <row r="30" spans="1:9" ht="25.5" customHeight="1" x14ac:dyDescent="0.55000000000000004">
      <c r="A30" s="87" t="s">
        <v>6</v>
      </c>
      <c r="B30" s="91">
        <v>6500</v>
      </c>
      <c r="C30" s="91">
        <v>7200</v>
      </c>
      <c r="D30" s="91">
        <v>7200</v>
      </c>
      <c r="I30" s="36"/>
    </row>
    <row r="31" spans="1:9" ht="25.5" customHeight="1" x14ac:dyDescent="0.55000000000000004">
      <c r="A31" s="87" t="s">
        <v>114</v>
      </c>
      <c r="B31" s="91">
        <v>500</v>
      </c>
      <c r="C31" s="91">
        <v>0</v>
      </c>
      <c r="D31" s="91">
        <v>0</v>
      </c>
      <c r="I31" s="36"/>
    </row>
    <row r="32" spans="1:9" ht="25.5" customHeight="1" x14ac:dyDescent="0.55000000000000004">
      <c r="A32" s="87" t="s">
        <v>61</v>
      </c>
      <c r="B32" s="91">
        <v>2500</v>
      </c>
      <c r="C32" s="91">
        <v>425</v>
      </c>
      <c r="D32" s="91">
        <v>688</v>
      </c>
      <c r="I32" s="36"/>
    </row>
    <row r="33" spans="1:11" ht="25.5" customHeight="1" x14ac:dyDescent="0.55000000000000004">
      <c r="A33" s="87" t="s">
        <v>15</v>
      </c>
      <c r="B33" s="91">
        <v>2500</v>
      </c>
      <c r="C33" s="91">
        <v>1650</v>
      </c>
      <c r="D33" s="91">
        <v>2000</v>
      </c>
      <c r="I33" s="36"/>
    </row>
    <row r="34" spans="1:11" ht="25.5" customHeight="1" x14ac:dyDescent="0.5">
      <c r="A34" s="93" t="s">
        <v>111</v>
      </c>
      <c r="B34" s="88">
        <f>SUM(B30:B33)</f>
        <v>12000</v>
      </c>
      <c r="C34" s="88">
        <f>SUM(C30:C33)</f>
        <v>9275</v>
      </c>
      <c r="D34" s="88">
        <f>SUM(D30:D33)</f>
        <v>9888</v>
      </c>
      <c r="I34" s="36"/>
    </row>
    <row r="35" spans="1:11" ht="25.5" customHeight="1" x14ac:dyDescent="0.55000000000000004">
      <c r="A35" s="93" t="s">
        <v>107</v>
      </c>
      <c r="B35" s="91"/>
      <c r="C35" s="91"/>
      <c r="D35" s="91"/>
      <c r="I35" s="36"/>
    </row>
    <row r="36" spans="1:11" ht="25.5" customHeight="1" x14ac:dyDescent="0.55000000000000004">
      <c r="A36" s="87" t="s">
        <v>12</v>
      </c>
      <c r="B36" s="91">
        <v>8000</v>
      </c>
      <c r="C36" s="91">
        <v>8200</v>
      </c>
      <c r="D36" s="91">
        <v>8300</v>
      </c>
      <c r="I36" s="36"/>
    </row>
    <row r="37" spans="1:11" ht="25.5" customHeight="1" x14ac:dyDescent="0.55000000000000004">
      <c r="A37" s="87" t="s">
        <v>13</v>
      </c>
      <c r="B37" s="91">
        <v>4000</v>
      </c>
      <c r="C37" s="91">
        <v>4200</v>
      </c>
      <c r="D37" s="91">
        <v>4500</v>
      </c>
      <c r="E37" s="36">
        <f>2208*12</f>
        <v>26496</v>
      </c>
      <c r="I37" s="36"/>
    </row>
    <row r="38" spans="1:11" ht="25.5" customHeight="1" x14ac:dyDescent="0.55000000000000004">
      <c r="A38" s="87" t="s">
        <v>14</v>
      </c>
      <c r="B38" s="92">
        <v>4200</v>
      </c>
      <c r="C38" s="92">
        <v>4300</v>
      </c>
      <c r="D38" s="92">
        <v>4500</v>
      </c>
      <c r="I38" s="36"/>
    </row>
    <row r="39" spans="1:11" ht="25.5" customHeight="1" x14ac:dyDescent="0.5">
      <c r="A39" s="93" t="s">
        <v>112</v>
      </c>
      <c r="B39" s="88">
        <f>SUM(B36:B38)</f>
        <v>16200</v>
      </c>
      <c r="C39" s="88">
        <f>SUM(C36:C38)</f>
        <v>16700</v>
      </c>
      <c r="D39" s="88">
        <f>SUM(D36:D38)</f>
        <v>17300</v>
      </c>
      <c r="I39" s="36"/>
    </row>
    <row r="40" spans="1:11" ht="25.5" customHeight="1" x14ac:dyDescent="0.5">
      <c r="A40" s="93" t="s">
        <v>146</v>
      </c>
      <c r="B40" s="88">
        <f>SUM('Reserves 2020'!G11)</f>
        <v>154000</v>
      </c>
      <c r="C40" s="88">
        <v>26496</v>
      </c>
      <c r="D40" s="88"/>
      <c r="I40" s="36"/>
    </row>
    <row r="41" spans="1:11" ht="25.5" customHeight="1" x14ac:dyDescent="0.55000000000000004">
      <c r="A41" s="93" t="s">
        <v>108</v>
      </c>
      <c r="B41" s="91"/>
      <c r="C41" s="91"/>
      <c r="D41" s="91"/>
      <c r="I41" s="36"/>
    </row>
    <row r="42" spans="1:11" ht="25.5" customHeight="1" x14ac:dyDescent="0.55000000000000004">
      <c r="A42" s="87" t="s">
        <v>115</v>
      </c>
      <c r="B42" s="91">
        <v>32000</v>
      </c>
      <c r="C42" s="91">
        <v>31000</v>
      </c>
      <c r="D42" s="91">
        <v>32000</v>
      </c>
      <c r="I42" s="36"/>
    </row>
    <row r="43" spans="1:11" ht="25.5" customHeight="1" thickBot="1" x14ac:dyDescent="0.55000000000000004">
      <c r="A43" s="93" t="s">
        <v>113</v>
      </c>
      <c r="B43" s="111">
        <f>SUM(B42:B42)</f>
        <v>32000</v>
      </c>
      <c r="C43" s="111">
        <f>SUM(C42:C42)</f>
        <v>31000</v>
      </c>
      <c r="D43" s="111">
        <v>32000</v>
      </c>
      <c r="I43" s="36"/>
    </row>
    <row r="44" spans="1:11" ht="25.5" customHeight="1" x14ac:dyDescent="0.5">
      <c r="A44" s="93" t="s">
        <v>23</v>
      </c>
      <c r="B44" s="88">
        <f>SUM(B42+B40+B39+B34+B28+B18)</f>
        <v>264640</v>
      </c>
      <c r="C44" s="88">
        <f>SUM(C43+C39+C34+C28+C18+C40)</f>
        <v>132375</v>
      </c>
      <c r="D44" s="88">
        <f>SUM(D42+D40+D39+D34+D28+D18)</f>
        <v>97598</v>
      </c>
      <c r="I44" s="36"/>
    </row>
    <row r="45" spans="1:11" ht="31.2" thickBot="1" x14ac:dyDescent="0.6">
      <c r="A45" s="87"/>
      <c r="B45" s="91"/>
      <c r="C45" s="91"/>
      <c r="D45" s="91"/>
    </row>
    <row r="46" spans="1:11" s="48" customFormat="1" ht="30" x14ac:dyDescent="0.5">
      <c r="A46" s="94" t="s">
        <v>41</v>
      </c>
      <c r="B46" s="95" t="s">
        <v>65</v>
      </c>
      <c r="C46" s="96" t="s">
        <v>131</v>
      </c>
      <c r="D46" s="97"/>
      <c r="G46" s="49"/>
      <c r="H46" s="50"/>
      <c r="I46" s="49"/>
      <c r="J46" s="49"/>
      <c r="K46" s="49"/>
    </row>
    <row r="47" spans="1:11" s="48" customFormat="1" ht="36" customHeight="1" x14ac:dyDescent="0.55000000000000004">
      <c r="A47" s="98" t="s">
        <v>33</v>
      </c>
      <c r="B47" s="99">
        <v>5.1139999999999998E-2</v>
      </c>
      <c r="C47" s="100">
        <f>SUM(D6*B47)/12</f>
        <v>415.45539366666668</v>
      </c>
      <c r="D47" s="113">
        <f>C47*6*12</f>
        <v>29912.788344000001</v>
      </c>
      <c r="E47" s="57"/>
      <c r="F47" s="57"/>
      <c r="G47" s="47"/>
      <c r="H47" s="50">
        <f>SUM(C47*6*12)</f>
        <v>29912.788344000001</v>
      </c>
      <c r="I47" s="47"/>
      <c r="J47" s="47"/>
      <c r="K47" s="47"/>
    </row>
    <row r="48" spans="1:11" s="48" customFormat="1" ht="36" customHeight="1" x14ac:dyDescent="0.55000000000000004">
      <c r="A48" s="98" t="s">
        <v>34</v>
      </c>
      <c r="B48" s="99">
        <v>5.679E-2</v>
      </c>
      <c r="C48" s="100">
        <f>SUM(D6*B48)/12</f>
        <v>461.35533450000003</v>
      </c>
      <c r="D48" s="113">
        <f>C48*6*12</f>
        <v>33217.584084000002</v>
      </c>
      <c r="E48" s="57"/>
      <c r="F48" s="57"/>
      <c r="G48" s="47"/>
      <c r="H48" s="50">
        <f>SUM(C48*6*12)</f>
        <v>33217.584084000002</v>
      </c>
      <c r="I48" s="47"/>
      <c r="J48" s="47"/>
      <c r="K48" s="47"/>
    </row>
    <row r="49" spans="1:11" s="48" customFormat="1" ht="36" customHeight="1" x14ac:dyDescent="0.55000000000000004">
      <c r="A49" s="98" t="s">
        <v>35</v>
      </c>
      <c r="B49" s="99">
        <v>5.5509999999999997E-2</v>
      </c>
      <c r="C49" s="100">
        <f>SUM(D6*B49)/12</f>
        <v>450.9567638333333</v>
      </c>
      <c r="D49" s="113">
        <f>C49*3*12</f>
        <v>16234.443497999999</v>
      </c>
      <c r="E49" s="57"/>
      <c r="F49" s="57"/>
      <c r="G49" s="47"/>
      <c r="H49" s="50">
        <f>SUM(C49*3*12)</f>
        <v>16234.443497999999</v>
      </c>
      <c r="I49" s="47"/>
      <c r="J49" s="47"/>
      <c r="K49" s="47"/>
    </row>
    <row r="50" spans="1:11" s="48" customFormat="1" ht="36" customHeight="1" x14ac:dyDescent="0.55000000000000004">
      <c r="A50" s="101" t="s">
        <v>36</v>
      </c>
      <c r="B50" s="99">
        <v>5.7230000000000003E-2</v>
      </c>
      <c r="C50" s="100">
        <f>SUM(D6*B50)/12</f>
        <v>464.92984316666667</v>
      </c>
      <c r="D50" s="113">
        <f>C50*12</f>
        <v>5579.1581180000003</v>
      </c>
      <c r="E50" s="57"/>
      <c r="F50" s="57"/>
      <c r="G50" s="47"/>
      <c r="H50" s="50">
        <f>SUM(C50*1*12)</f>
        <v>5579.1581180000003</v>
      </c>
      <c r="I50" s="47"/>
      <c r="J50" s="47"/>
      <c r="K50" s="47"/>
    </row>
    <row r="51" spans="1:11" s="48" customFormat="1" ht="36" customHeight="1" x14ac:dyDescent="0.55000000000000004">
      <c r="A51" s="101" t="s">
        <v>92</v>
      </c>
      <c r="B51" s="99">
        <v>5.9200000000000003E-2</v>
      </c>
      <c r="C51" s="100">
        <f>SUM(D6*B51)/12</f>
        <v>480.9338933333334</v>
      </c>
      <c r="D51" s="113">
        <f>C51*12</f>
        <v>5771.206720000001</v>
      </c>
      <c r="E51" s="57"/>
      <c r="F51" s="57"/>
      <c r="G51" s="47"/>
      <c r="H51" s="50">
        <f>SUM(C51*12)</f>
        <v>5771.206720000001</v>
      </c>
      <c r="I51" s="47"/>
      <c r="J51" s="47"/>
      <c r="K51" s="47"/>
    </row>
    <row r="52" spans="1:11" s="48" customFormat="1" ht="36" customHeight="1" thickBot="1" x14ac:dyDescent="0.6">
      <c r="A52" s="102" t="s">
        <v>38</v>
      </c>
      <c r="B52" s="103">
        <v>6.9459999999999994E-2</v>
      </c>
      <c r="C52" s="104">
        <f>SUM(D6*B52)/12</f>
        <v>564.28493633333335</v>
      </c>
      <c r="D52" s="113">
        <f>C52*12</f>
        <v>6771.4192359999997</v>
      </c>
      <c r="E52" s="57"/>
      <c r="F52" s="57"/>
      <c r="G52" s="47"/>
      <c r="H52" s="50">
        <f>SUM(C52*12)</f>
        <v>6771.4192359999997</v>
      </c>
      <c r="I52" s="47"/>
      <c r="J52" s="47"/>
      <c r="K52" s="47"/>
    </row>
    <row r="53" spans="1:11" x14ac:dyDescent="0.4">
      <c r="B53" s="37"/>
      <c r="D53" s="114">
        <f>SUM(D47:D52)</f>
        <v>97486.6</v>
      </c>
      <c r="F53" s="58"/>
      <c r="H53" s="41">
        <f>SUM(H47:H52)</f>
        <v>97486.6</v>
      </c>
    </row>
    <row r="54" spans="1:11" x14ac:dyDescent="0.4">
      <c r="I54" s="41"/>
    </row>
    <row r="58" spans="1:11" x14ac:dyDescent="0.4">
      <c r="I58" s="41"/>
    </row>
  </sheetData>
  <mergeCells count="2">
    <mergeCell ref="A1:D1"/>
    <mergeCell ref="A2:D2"/>
  </mergeCells>
  <pageMargins left="0.25" right="0.25" top="0.75" bottom="0.75" header="0.3" footer="0.3"/>
  <pageSetup scale="3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DE1D4-8BF0-FF43-9DB2-3566333178EE}">
  <dimension ref="A2:I23"/>
  <sheetViews>
    <sheetView topLeftCell="B1" zoomScale="84" workbookViewId="0">
      <selection activeCell="I12" sqref="I12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6384" width="8.796875" style="68"/>
  </cols>
  <sheetData>
    <row r="2" spans="1:9" x14ac:dyDescent="0.3">
      <c r="A2" s="159" t="s">
        <v>147</v>
      </c>
      <c r="B2" s="171"/>
      <c r="C2" s="171"/>
      <c r="D2" s="171"/>
      <c r="E2" s="171"/>
      <c r="F2" s="171"/>
      <c r="G2" s="171"/>
      <c r="H2" s="171"/>
      <c r="I2" s="171"/>
    </row>
    <row r="3" spans="1:9" x14ac:dyDescent="0.3">
      <c r="A3" s="172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7" t="s">
        <v>148</v>
      </c>
    </row>
    <row r="4" spans="1:9" x14ac:dyDescent="0.3">
      <c r="A4" s="173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148</v>
      </c>
      <c r="I4" s="173"/>
    </row>
    <row r="5" spans="1:9" ht="28.8" x14ac:dyDescent="0.3">
      <c r="A5" s="69"/>
      <c r="B5" s="69"/>
      <c r="C5" s="69"/>
      <c r="D5" s="69" t="s">
        <v>80</v>
      </c>
      <c r="E5" s="70">
        <v>44196</v>
      </c>
      <c r="F5" s="69" t="s">
        <v>81</v>
      </c>
      <c r="G5" s="69" t="s">
        <v>82</v>
      </c>
      <c r="H5" s="69" t="s">
        <v>83</v>
      </c>
      <c r="I5" s="17" t="s">
        <v>154</v>
      </c>
    </row>
    <row r="6" spans="1:9" x14ac:dyDescent="0.3">
      <c r="A6" s="72" t="s">
        <v>27</v>
      </c>
      <c r="B6" s="73">
        <v>7</v>
      </c>
      <c r="C6" s="74">
        <v>80000</v>
      </c>
      <c r="D6" s="75">
        <v>0.1</v>
      </c>
      <c r="E6" s="76">
        <f t="shared" ref="E6:E11" si="0">$E$12*D6</f>
        <v>9571.2000000000007</v>
      </c>
      <c r="F6" s="73">
        <v>6</v>
      </c>
      <c r="G6" s="76">
        <f t="shared" ref="G6:G12" si="1">C6-E6</f>
        <v>70428.800000000003</v>
      </c>
      <c r="H6" s="76">
        <f t="shared" ref="H6:H11" si="2">G6/F6</f>
        <v>11738.133333333333</v>
      </c>
      <c r="I6" s="76">
        <f t="shared" ref="I6:I11" si="3">H6*0.6</f>
        <v>7042.88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0.5</v>
      </c>
      <c r="E7" s="76">
        <f t="shared" si="0"/>
        <v>47856</v>
      </c>
      <c r="F7" s="73">
        <v>12</v>
      </c>
      <c r="G7" s="76">
        <f t="shared" si="1"/>
        <v>32144</v>
      </c>
      <c r="H7" s="76">
        <f t="shared" si="2"/>
        <v>2678.6666666666665</v>
      </c>
      <c r="I7" s="76">
        <f t="shared" si="3"/>
        <v>1607.1999999999998</v>
      </c>
    </row>
    <row r="8" spans="1:9" x14ac:dyDescent="0.3">
      <c r="A8" s="15" t="s">
        <v>153</v>
      </c>
      <c r="B8" s="73">
        <v>10</v>
      </c>
      <c r="C8" s="74">
        <v>200000</v>
      </c>
      <c r="D8" s="75">
        <v>0.25</v>
      </c>
      <c r="E8" s="76">
        <f t="shared" si="0"/>
        <v>23928</v>
      </c>
      <c r="F8" s="73">
        <v>10</v>
      </c>
      <c r="G8" s="76">
        <f t="shared" si="1"/>
        <v>176072</v>
      </c>
      <c r="H8" s="76">
        <f t="shared" si="2"/>
        <v>17607.2</v>
      </c>
      <c r="I8" s="76">
        <f t="shared" si="3"/>
        <v>10564.32</v>
      </c>
    </row>
    <row r="9" spans="1:9" x14ac:dyDescent="0.3">
      <c r="A9" s="72" t="s">
        <v>85</v>
      </c>
      <c r="B9" s="73">
        <v>15</v>
      </c>
      <c r="C9" s="74">
        <v>60000</v>
      </c>
      <c r="D9" s="75">
        <v>0.05</v>
      </c>
      <c r="E9" s="76">
        <f t="shared" si="0"/>
        <v>4785.6000000000004</v>
      </c>
      <c r="F9" s="73">
        <v>5</v>
      </c>
      <c r="G9" s="76">
        <f t="shared" si="1"/>
        <v>55214.400000000001</v>
      </c>
      <c r="H9" s="76">
        <f t="shared" si="2"/>
        <v>11042.880000000001</v>
      </c>
      <c r="I9" s="76">
        <f t="shared" si="3"/>
        <v>6625.7280000000001</v>
      </c>
    </row>
    <row r="10" spans="1:9" x14ac:dyDescent="0.3">
      <c r="A10" s="72" t="s">
        <v>28</v>
      </c>
      <c r="B10" s="73">
        <v>30</v>
      </c>
      <c r="C10" s="74">
        <v>60000</v>
      </c>
      <c r="D10" s="75">
        <v>0.05</v>
      </c>
      <c r="E10" s="76">
        <f t="shared" si="0"/>
        <v>4785.6000000000004</v>
      </c>
      <c r="F10" s="73">
        <v>27</v>
      </c>
      <c r="G10" s="76">
        <f t="shared" si="1"/>
        <v>55214.400000000001</v>
      </c>
      <c r="H10" s="76">
        <f t="shared" si="2"/>
        <v>2044.9777777777779</v>
      </c>
      <c r="I10" s="76">
        <f t="shared" si="3"/>
        <v>1226.9866666666667</v>
      </c>
    </row>
    <row r="11" spans="1:9" x14ac:dyDescent="0.3">
      <c r="A11" s="72" t="s">
        <v>30</v>
      </c>
      <c r="B11" s="73">
        <v>25</v>
      </c>
      <c r="C11" s="74">
        <v>29000</v>
      </c>
      <c r="D11" s="75">
        <v>0.05</v>
      </c>
      <c r="E11" s="76">
        <f t="shared" si="0"/>
        <v>4785.6000000000004</v>
      </c>
      <c r="F11" s="73">
        <v>15</v>
      </c>
      <c r="G11" s="76">
        <f t="shared" si="1"/>
        <v>24214.400000000001</v>
      </c>
      <c r="H11" s="76">
        <f t="shared" si="2"/>
        <v>1614.2933333333335</v>
      </c>
      <c r="I11" s="76">
        <f t="shared" si="3"/>
        <v>968.57600000000002</v>
      </c>
    </row>
    <row r="12" spans="1:9" x14ac:dyDescent="0.3">
      <c r="A12" s="72" t="s">
        <v>86</v>
      </c>
      <c r="B12" s="69"/>
      <c r="C12" s="77">
        <f>SUM(C6:C11)</f>
        <v>509000</v>
      </c>
      <c r="D12" s="78">
        <f>SUM(D6:D11)</f>
        <v>1</v>
      </c>
      <c r="E12" s="117">
        <f>89088+2208+2208+2208</f>
        <v>95712</v>
      </c>
      <c r="F12" s="69"/>
      <c r="G12" s="79">
        <f t="shared" si="1"/>
        <v>413288</v>
      </c>
      <c r="H12" s="79">
        <f>SUM(H6:H11)</f>
        <v>46726.151111111118</v>
      </c>
      <c r="I12" s="79">
        <f>SUM(I6:I11)</f>
        <v>28035.690666666669</v>
      </c>
    </row>
    <row r="13" spans="1:9" x14ac:dyDescent="0.3">
      <c r="I13" s="107">
        <f>I12/12</f>
        <v>2336.3075555555556</v>
      </c>
    </row>
    <row r="14" spans="1:9" ht="69" x14ac:dyDescent="0.3">
      <c r="A14" s="80" t="s">
        <v>41</v>
      </c>
      <c r="B14" s="81" t="s">
        <v>65</v>
      </c>
      <c r="C14" s="81" t="s">
        <v>67</v>
      </c>
      <c r="D14" s="82" t="s">
        <v>87</v>
      </c>
      <c r="E14" s="82" t="s">
        <v>88</v>
      </c>
      <c r="F14" s="112" t="s">
        <v>156</v>
      </c>
      <c r="G14" s="118" t="s">
        <v>155</v>
      </c>
      <c r="I14" s="107"/>
    </row>
    <row r="15" spans="1:9" x14ac:dyDescent="0.3">
      <c r="A15" s="83" t="s">
        <v>33</v>
      </c>
      <c r="B15" s="84">
        <v>5.1139999999999998E-2</v>
      </c>
      <c r="C15" s="85">
        <f>SUM('Budget 2020'!C49)</f>
        <v>415.45539483745415</v>
      </c>
      <c r="D15" s="86">
        <f>SUM(H12*B15/12)</f>
        <v>199.13128065185188</v>
      </c>
      <c r="E15" s="85">
        <f t="shared" ref="E15:E20" si="4">SUM(C15+D15)</f>
        <v>614.586675489306</v>
      </c>
      <c r="F15" s="86">
        <f>SUM(I12*B15/12)</f>
        <v>119.4787683911111</v>
      </c>
      <c r="G15" s="106">
        <f t="shared" ref="G15:G20" si="5">SUM(C15+F15)</f>
        <v>534.93416322856524</v>
      </c>
      <c r="H15" s="116"/>
    </row>
    <row r="16" spans="1:9" x14ac:dyDescent="0.3">
      <c r="A16" s="83" t="s">
        <v>34</v>
      </c>
      <c r="B16" s="84">
        <v>5.679E-2</v>
      </c>
      <c r="C16" s="85">
        <f>SUM('Budget 2020'!C50)</f>
        <v>461.35533580013731</v>
      </c>
      <c r="D16" s="86">
        <f>SUM(H12*B16/12)</f>
        <v>221.13151013333336</v>
      </c>
      <c r="E16" s="85">
        <f t="shared" si="4"/>
        <v>682.4868459334707</v>
      </c>
      <c r="F16" s="86">
        <f>SUM(I12*B16/12)</f>
        <v>132.67890608000002</v>
      </c>
      <c r="G16" s="106">
        <f t="shared" si="5"/>
        <v>594.0342418801373</v>
      </c>
      <c r="H16" s="116"/>
    </row>
    <row r="17" spans="1:8" x14ac:dyDescent="0.3">
      <c r="A17" s="83" t="s">
        <v>35</v>
      </c>
      <c r="B17" s="84">
        <v>5.5509999999999997E-2</v>
      </c>
      <c r="C17" s="85">
        <f>SUM('Budget 2020'!C51)</f>
        <v>450.95676510416661</v>
      </c>
      <c r="D17" s="86">
        <f>SUM(H12*B17/12)</f>
        <v>216.14738734814816</v>
      </c>
      <c r="E17" s="85">
        <f t="shared" si="4"/>
        <v>667.10415245231479</v>
      </c>
      <c r="F17" s="86">
        <f>SUM(I12*B17/12)</f>
        <v>129.6884324088889</v>
      </c>
      <c r="G17" s="106">
        <f t="shared" si="5"/>
        <v>580.64519751305556</v>
      </c>
      <c r="H17" s="116"/>
    </row>
    <row r="18" spans="1:8" x14ac:dyDescent="0.3">
      <c r="A18" s="83" t="s">
        <v>36</v>
      </c>
      <c r="B18" s="84">
        <v>5.7230000000000003E-2</v>
      </c>
      <c r="C18" s="85">
        <f>SUM('Budget 2020'!C52)</f>
        <v>464.92984447687724</v>
      </c>
      <c r="D18" s="86">
        <f>SUM(H12*B18/12)</f>
        <v>222.84480234074078</v>
      </c>
      <c r="E18" s="85">
        <f t="shared" si="4"/>
        <v>687.77464681761808</v>
      </c>
      <c r="F18" s="86">
        <f>SUM(I12*B18/12)</f>
        <v>133.70688140444446</v>
      </c>
      <c r="G18" s="106">
        <f t="shared" si="5"/>
        <v>598.63672588132169</v>
      </c>
      <c r="H18" s="116"/>
    </row>
    <row r="19" spans="1:8" x14ac:dyDescent="0.3">
      <c r="A19" s="83" t="s">
        <v>92</v>
      </c>
      <c r="B19" s="84">
        <v>5.9200000000000003E-2</v>
      </c>
      <c r="C19" s="85">
        <f>SUM('Budget 2020'!C53)</f>
        <v>480.93389468864467</v>
      </c>
      <c r="D19" s="86">
        <f>SUM(H12*B19/12)</f>
        <v>230.51567881481483</v>
      </c>
      <c r="E19" s="85">
        <f t="shared" si="4"/>
        <v>711.44957350345953</v>
      </c>
      <c r="F19" s="86">
        <f>SUM(I12*B19/12)</f>
        <v>138.30940728888891</v>
      </c>
      <c r="G19" s="106">
        <f t="shared" si="5"/>
        <v>619.24330197753352</v>
      </c>
      <c r="H19" s="116"/>
    </row>
    <row r="20" spans="1:8" x14ac:dyDescent="0.3">
      <c r="A20" s="83" t="s">
        <v>38</v>
      </c>
      <c r="B20" s="84">
        <v>6.9459999999999994E-2</v>
      </c>
      <c r="C20" s="85">
        <f>SUM('Budget 2020'!C54)</f>
        <v>564.2849379235347</v>
      </c>
      <c r="D20" s="86">
        <f>SUM(H12*B20/12)</f>
        <v>270.46653801481483</v>
      </c>
      <c r="E20" s="85">
        <f t="shared" si="4"/>
        <v>834.75147593834959</v>
      </c>
      <c r="F20" s="86">
        <f>SUM(I12*B20/12)</f>
        <v>162.2799228088889</v>
      </c>
      <c r="G20" s="106">
        <f t="shared" si="5"/>
        <v>726.56486073242354</v>
      </c>
      <c r="H20" s="116"/>
    </row>
    <row r="21" spans="1:8" ht="16.2" thickBot="1" x14ac:dyDescent="0.35"/>
    <row r="22" spans="1:8" x14ac:dyDescent="0.3">
      <c r="A22" s="174" t="s">
        <v>91</v>
      </c>
      <c r="B22" s="175"/>
      <c r="C22" s="175"/>
      <c r="D22" s="175"/>
      <c r="E22" s="175"/>
      <c r="F22" s="175"/>
      <c r="G22" s="175"/>
      <c r="H22" s="176"/>
    </row>
    <row r="23" spans="1:8" ht="16.2" thickBot="1" x14ac:dyDescent="0.35">
      <c r="A23" s="177"/>
      <c r="B23" s="178"/>
      <c r="C23" s="178"/>
      <c r="D23" s="178"/>
      <c r="E23" s="178"/>
      <c r="F23" s="178"/>
      <c r="G23" s="178"/>
      <c r="H23" s="179"/>
    </row>
  </sheetData>
  <mergeCells count="4">
    <mergeCell ref="A2:I2"/>
    <mergeCell ref="A3:A4"/>
    <mergeCell ref="I3:I4"/>
    <mergeCell ref="A22:H23"/>
  </mergeCells>
  <pageMargins left="0.2" right="0.2" top="0.75" bottom="0.4" header="0.3" footer="0.3"/>
  <pageSetup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1FF4C-46A2-4715-9A8C-3E011CA33841}">
  <dimension ref="A2:I17"/>
  <sheetViews>
    <sheetView zoomScale="84" workbookViewId="0">
      <selection activeCell="D21" sqref="D21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16.296875" style="68" customWidth="1"/>
    <col min="8" max="8" width="14.59765625" style="68" customWidth="1"/>
    <col min="9" max="16384" width="8.796875" style="68"/>
  </cols>
  <sheetData>
    <row r="2" spans="1:9" ht="55.2" x14ac:dyDescent="0.3">
      <c r="A2" s="80" t="s">
        <v>41</v>
      </c>
      <c r="B2" s="81" t="s">
        <v>65</v>
      </c>
      <c r="C2" s="115" t="s">
        <v>157</v>
      </c>
      <c r="D2" s="112" t="s">
        <v>158</v>
      </c>
      <c r="E2" s="112" t="s">
        <v>159</v>
      </c>
      <c r="F2" s="112" t="s">
        <v>160</v>
      </c>
      <c r="H2" s="107"/>
    </row>
    <row r="3" spans="1:9" x14ac:dyDescent="0.3">
      <c r="A3" s="83" t="s">
        <v>33</v>
      </c>
      <c r="B3" s="84">
        <v>5.1139999999999998E-2</v>
      </c>
      <c r="C3" s="85">
        <v>70000</v>
      </c>
      <c r="D3" s="86">
        <f>C3*B3</f>
        <v>3579.7999999999997</v>
      </c>
      <c r="E3" s="85">
        <f t="shared" ref="E3:E8" si="0">D3/6</f>
        <v>596.63333333333333</v>
      </c>
      <c r="F3" s="86">
        <f t="shared" ref="F3:F8" si="1">D3/12</f>
        <v>298.31666666666666</v>
      </c>
    </row>
    <row r="4" spans="1:9" x14ac:dyDescent="0.3">
      <c r="A4" s="83" t="s">
        <v>34</v>
      </c>
      <c r="B4" s="84">
        <v>5.679E-2</v>
      </c>
      <c r="C4" s="85">
        <v>70000</v>
      </c>
      <c r="D4" s="86">
        <f>B4*70000</f>
        <v>3975.3</v>
      </c>
      <c r="E4" s="85">
        <f t="shared" si="0"/>
        <v>662.55000000000007</v>
      </c>
      <c r="F4" s="86">
        <f t="shared" si="1"/>
        <v>331.27500000000003</v>
      </c>
    </row>
    <row r="5" spans="1:9" x14ac:dyDescent="0.3">
      <c r="A5" s="83" t="s">
        <v>35</v>
      </c>
      <c r="B5" s="84">
        <v>5.5509999999999997E-2</v>
      </c>
      <c r="C5" s="85">
        <v>70000</v>
      </c>
      <c r="D5" s="86">
        <f>SUM(B5*70000)</f>
        <v>3885.7</v>
      </c>
      <c r="E5" s="85">
        <f t="shared" si="0"/>
        <v>647.61666666666667</v>
      </c>
      <c r="F5" s="86">
        <f t="shared" si="1"/>
        <v>323.80833333333334</v>
      </c>
    </row>
    <row r="6" spans="1:9" x14ac:dyDescent="0.3">
      <c r="A6" s="83" t="s">
        <v>36</v>
      </c>
      <c r="B6" s="84">
        <v>5.7230000000000003E-2</v>
      </c>
      <c r="C6" s="85">
        <v>70000</v>
      </c>
      <c r="D6" s="86">
        <f>B6*70000</f>
        <v>4006.1000000000004</v>
      </c>
      <c r="E6" s="85">
        <f t="shared" si="0"/>
        <v>667.68333333333339</v>
      </c>
      <c r="F6" s="86">
        <f t="shared" si="1"/>
        <v>333.8416666666667</v>
      </c>
    </row>
    <row r="7" spans="1:9" x14ac:dyDescent="0.3">
      <c r="A7" s="83" t="s">
        <v>92</v>
      </c>
      <c r="B7" s="84">
        <v>5.9200000000000003E-2</v>
      </c>
      <c r="C7" s="85">
        <v>70000</v>
      </c>
      <c r="D7" s="86">
        <f>70000*B7</f>
        <v>4144</v>
      </c>
      <c r="E7" s="85">
        <f t="shared" si="0"/>
        <v>690.66666666666663</v>
      </c>
      <c r="F7" s="86">
        <f t="shared" si="1"/>
        <v>345.33333333333331</v>
      </c>
    </row>
    <row r="8" spans="1:9" x14ac:dyDescent="0.3">
      <c r="A8" s="83" t="s">
        <v>38</v>
      </c>
      <c r="B8" s="84">
        <v>6.9459999999999994E-2</v>
      </c>
      <c r="C8" s="85">
        <v>70000</v>
      </c>
      <c r="D8" s="86">
        <f>70000*B8</f>
        <v>4862.2</v>
      </c>
      <c r="E8" s="85">
        <f t="shared" si="0"/>
        <v>810.36666666666667</v>
      </c>
      <c r="F8" s="86">
        <f t="shared" si="1"/>
        <v>405.18333333333334</v>
      </c>
    </row>
    <row r="11" spans="1:9" ht="65.25" customHeight="1" x14ac:dyDescent="0.3">
      <c r="A11" s="80" t="s">
        <v>41</v>
      </c>
      <c r="B11" s="81" t="s">
        <v>65</v>
      </c>
      <c r="C11" s="115" t="s">
        <v>162</v>
      </c>
      <c r="D11" s="112" t="s">
        <v>158</v>
      </c>
      <c r="E11" s="112" t="s">
        <v>164</v>
      </c>
      <c r="F11" s="112" t="s">
        <v>161</v>
      </c>
      <c r="G11" s="112" t="s">
        <v>163</v>
      </c>
      <c r="I11" s="68">
        <f>4.25%</f>
        <v>4.2500000000000003E-2</v>
      </c>
    </row>
    <row r="12" spans="1:9" x14ac:dyDescent="0.3">
      <c r="A12" s="83" t="s">
        <v>33</v>
      </c>
      <c r="B12" s="84">
        <v>5.1139999999999998E-2</v>
      </c>
      <c r="C12" s="85">
        <f>(150000*I11*5)+150000</f>
        <v>181875</v>
      </c>
      <c r="D12" s="86">
        <f>C12*B12</f>
        <v>9301.0874999999996</v>
      </c>
      <c r="E12" s="86">
        <f t="shared" ref="E12:E17" si="2">SUM(D12/36)</f>
        <v>258.36354166666666</v>
      </c>
      <c r="F12" s="85">
        <f t="shared" ref="F12:F17" si="3">D12/60</f>
        <v>155.018125</v>
      </c>
      <c r="G12" s="86">
        <f t="shared" ref="G12:G17" si="4">D12/84</f>
        <v>110.72723214285713</v>
      </c>
    </row>
    <row r="13" spans="1:9" x14ac:dyDescent="0.3">
      <c r="A13" s="83" t="s">
        <v>34</v>
      </c>
      <c r="B13" s="84">
        <v>5.679E-2</v>
      </c>
      <c r="C13" s="85">
        <v>181875</v>
      </c>
      <c r="D13" s="86">
        <f>B13*C13</f>
        <v>10328.68125</v>
      </c>
      <c r="E13" s="86">
        <f t="shared" si="2"/>
        <v>286.90781249999998</v>
      </c>
      <c r="F13" s="85">
        <f t="shared" si="3"/>
        <v>172.1446875</v>
      </c>
      <c r="G13" s="86">
        <f t="shared" si="4"/>
        <v>122.96049107142856</v>
      </c>
      <c r="I13" s="68">
        <v>1.0425</v>
      </c>
    </row>
    <row r="14" spans="1:9" x14ac:dyDescent="0.3">
      <c r="A14" s="83" t="s">
        <v>35</v>
      </c>
      <c r="B14" s="84">
        <v>5.5509999999999997E-2</v>
      </c>
      <c r="C14" s="85">
        <v>181875</v>
      </c>
      <c r="D14" s="86">
        <f>B14*C14</f>
        <v>10095.881249999999</v>
      </c>
      <c r="E14" s="86">
        <f t="shared" si="2"/>
        <v>280.44114583333328</v>
      </c>
      <c r="F14" s="85">
        <f t="shared" si="3"/>
        <v>168.26468749999998</v>
      </c>
      <c r="G14" s="86">
        <f t="shared" si="4"/>
        <v>120.18906249999998</v>
      </c>
    </row>
    <row r="15" spans="1:9" x14ac:dyDescent="0.3">
      <c r="A15" s="83" t="s">
        <v>36</v>
      </c>
      <c r="B15" s="84">
        <v>5.7230000000000003E-2</v>
      </c>
      <c r="C15" s="85">
        <v>181875</v>
      </c>
      <c r="D15" s="86">
        <f>B15*C15</f>
        <v>10408.706250000001</v>
      </c>
      <c r="E15" s="86">
        <f t="shared" si="2"/>
        <v>289.1307291666667</v>
      </c>
      <c r="F15" s="85">
        <f t="shared" si="3"/>
        <v>173.47843750000001</v>
      </c>
      <c r="G15" s="86">
        <f t="shared" si="4"/>
        <v>123.91316964285716</v>
      </c>
    </row>
    <row r="16" spans="1:9" x14ac:dyDescent="0.3">
      <c r="A16" s="83" t="s">
        <v>92</v>
      </c>
      <c r="B16" s="84">
        <v>5.9200000000000003E-2</v>
      </c>
      <c r="C16" s="85">
        <v>181875</v>
      </c>
      <c r="D16" s="86">
        <f>B16*C16</f>
        <v>10767</v>
      </c>
      <c r="E16" s="86">
        <f t="shared" si="2"/>
        <v>299.08333333333331</v>
      </c>
      <c r="F16" s="85">
        <f t="shared" si="3"/>
        <v>179.45</v>
      </c>
      <c r="G16" s="86">
        <f t="shared" si="4"/>
        <v>128.17857142857142</v>
      </c>
    </row>
    <row r="17" spans="1:7" x14ac:dyDescent="0.3">
      <c r="A17" s="83" t="s">
        <v>38</v>
      </c>
      <c r="B17" s="84">
        <v>6.9459999999999994E-2</v>
      </c>
      <c r="C17" s="85">
        <v>181875</v>
      </c>
      <c r="D17" s="86">
        <f>B17*C17</f>
        <v>12633.037499999999</v>
      </c>
      <c r="E17" s="86">
        <f t="shared" si="2"/>
        <v>350.91770833333328</v>
      </c>
      <c r="F17" s="85">
        <f t="shared" si="3"/>
        <v>210.55062499999997</v>
      </c>
      <c r="G17" s="86">
        <f t="shared" si="4"/>
        <v>150.39330357142856</v>
      </c>
    </row>
  </sheetData>
  <pageMargins left="0.2" right="0.2" top="0.75" bottom="0.4" header="0.3" footer="0.3"/>
  <pageSetup scale="7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CC3B-2CE8-4180-96E9-86EF3BE36366}">
  <dimension ref="A1:K58"/>
  <sheetViews>
    <sheetView view="pageBreakPreview" zoomScale="60" zoomScaleSheetLayoutView="40" workbookViewId="0">
      <selection activeCell="C53" sqref="C53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9" t="s">
        <v>165</v>
      </c>
      <c r="B1" s="169"/>
      <c r="C1" s="169"/>
      <c r="D1" s="169"/>
    </row>
    <row r="2" spans="1:9" ht="54" customHeight="1" x14ac:dyDescent="0.4">
      <c r="A2" s="170" t="s">
        <v>166</v>
      </c>
      <c r="B2" s="170"/>
      <c r="C2" s="170"/>
      <c r="D2" s="170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169</v>
      </c>
    </row>
    <row r="4" spans="1:9" ht="25.5" customHeight="1" x14ac:dyDescent="0.55000000000000004">
      <c r="A4" s="87"/>
      <c r="B4" s="89" t="s">
        <v>152</v>
      </c>
      <c r="C4" s="88" t="s">
        <v>167</v>
      </c>
      <c r="D4" s="89" t="s">
        <v>168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91">
        <v>97487</v>
      </c>
      <c r="C6" s="91">
        <v>126000</v>
      </c>
      <c r="D6" s="108">
        <v>126000</v>
      </c>
      <c r="I6" s="36"/>
    </row>
    <row r="7" spans="1:9" ht="25.5" customHeight="1" x14ac:dyDescent="0.55000000000000004">
      <c r="A7" s="87" t="s">
        <v>132</v>
      </c>
      <c r="B7" s="91">
        <f>SUM('Reserves 2020'!F11)</f>
        <v>0</v>
      </c>
      <c r="C7" s="91">
        <v>0</v>
      </c>
      <c r="D7" s="108">
        <v>0</v>
      </c>
      <c r="E7" s="58"/>
      <c r="I7" s="36"/>
    </row>
    <row r="8" spans="1:9" ht="25.5" customHeight="1" x14ac:dyDescent="0.55000000000000004">
      <c r="A8" s="87" t="s">
        <v>58</v>
      </c>
      <c r="B8" s="91">
        <v>100</v>
      </c>
      <c r="C8" s="91">
        <v>50</v>
      </c>
      <c r="D8" s="108">
        <v>100</v>
      </c>
      <c r="I8" s="36"/>
    </row>
    <row r="9" spans="1:9" ht="25.5" customHeight="1" x14ac:dyDescent="0.55000000000000004">
      <c r="A9" s="87" t="s">
        <v>59</v>
      </c>
      <c r="B9" s="92">
        <v>11</v>
      </c>
      <c r="C9" s="92">
        <v>9</v>
      </c>
      <c r="D9" s="109">
        <v>11</v>
      </c>
      <c r="I9" s="36"/>
    </row>
    <row r="10" spans="1:9" ht="25.5" customHeight="1" x14ac:dyDescent="0.5">
      <c r="A10" s="90" t="s">
        <v>60</v>
      </c>
      <c r="B10" s="88">
        <f>SUM(B6:B9)</f>
        <v>97598</v>
      </c>
      <c r="C10" s="88">
        <f>SUM(C6:C9)</f>
        <v>126059</v>
      </c>
      <c r="D10" s="110">
        <f>SUM(D44)</f>
        <v>103308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300</v>
      </c>
      <c r="C13" s="91">
        <v>300</v>
      </c>
      <c r="D13" s="91">
        <v>300</v>
      </c>
      <c r="I13" s="36"/>
    </row>
    <row r="14" spans="1:9" ht="25.5" customHeight="1" x14ac:dyDescent="0.55000000000000004">
      <c r="A14" s="87" t="s">
        <v>2</v>
      </c>
      <c r="B14" s="91">
        <v>120</v>
      </c>
      <c r="C14" s="91">
        <v>120</v>
      </c>
      <c r="D14" s="91">
        <v>120</v>
      </c>
      <c r="I14" s="36"/>
    </row>
    <row r="15" spans="1:9" ht="25.5" customHeight="1" x14ac:dyDescent="0.55000000000000004">
      <c r="A15" s="87" t="s">
        <v>21</v>
      </c>
      <c r="B15" s="91">
        <v>3600</v>
      </c>
      <c r="C15" s="91">
        <v>3600</v>
      </c>
      <c r="D15" s="91">
        <v>3600</v>
      </c>
      <c r="I15" s="36"/>
    </row>
    <row r="16" spans="1:9" ht="25.5" customHeight="1" x14ac:dyDescent="0.55000000000000004">
      <c r="A16" s="87" t="s">
        <v>17</v>
      </c>
      <c r="B16" s="91">
        <v>3500</v>
      </c>
      <c r="C16" s="91">
        <v>3500</v>
      </c>
      <c r="D16" s="91">
        <v>3500</v>
      </c>
      <c r="I16" s="36"/>
    </row>
    <row r="17" spans="1:9" ht="25.5" customHeight="1" x14ac:dyDescent="0.55000000000000004">
      <c r="A17" s="87" t="s">
        <v>64</v>
      </c>
      <c r="B17" s="92">
        <v>500</v>
      </c>
      <c r="C17" s="92">
        <v>500</v>
      </c>
      <c r="D17" s="92">
        <v>500</v>
      </c>
      <c r="I17" s="36"/>
    </row>
    <row r="18" spans="1:9" ht="25.5" customHeight="1" x14ac:dyDescent="0.5">
      <c r="A18" s="93" t="s">
        <v>109</v>
      </c>
      <c r="B18" s="88">
        <f>SUM(B13:B17)</f>
        <v>8020</v>
      </c>
      <c r="C18" s="88">
        <f>SUM(C13:C17)</f>
        <v>8020</v>
      </c>
      <c r="D18" s="88">
        <f>SUM(D13:D17)</f>
        <v>8020</v>
      </c>
      <c r="I18" s="36"/>
    </row>
    <row r="19" spans="1:9" ht="25.5" customHeight="1" x14ac:dyDescent="0.55000000000000004">
      <c r="A19" s="93" t="s">
        <v>104</v>
      </c>
      <c r="B19" s="91"/>
      <c r="C19" s="91"/>
      <c r="D19" s="91"/>
      <c r="I19" s="36"/>
    </row>
    <row r="20" spans="1:9" ht="25.5" customHeight="1" x14ac:dyDescent="0.55000000000000004">
      <c r="A20" s="87" t="s">
        <v>3</v>
      </c>
      <c r="B20" s="91">
        <v>9890</v>
      </c>
      <c r="C20" s="91">
        <v>9890</v>
      </c>
      <c r="D20" s="91">
        <v>9000</v>
      </c>
      <c r="I20" s="36"/>
    </row>
    <row r="21" spans="1:9" ht="25.5" customHeight="1" x14ac:dyDescent="0.55000000000000004">
      <c r="A21" s="87" t="s">
        <v>8</v>
      </c>
      <c r="B21" s="91">
        <v>9600</v>
      </c>
      <c r="C21" s="91">
        <v>9000</v>
      </c>
      <c r="D21" s="91">
        <f>800*12</f>
        <v>9600</v>
      </c>
      <c r="I21" s="36"/>
    </row>
    <row r="22" spans="1:9" ht="25.5" customHeight="1" x14ac:dyDescent="0.55000000000000004">
      <c r="A22" s="87" t="s">
        <v>138</v>
      </c>
      <c r="B22" s="91">
        <v>1200</v>
      </c>
      <c r="C22" s="91">
        <v>1200</v>
      </c>
      <c r="D22" s="91">
        <v>1200</v>
      </c>
      <c r="I22" s="36"/>
    </row>
    <row r="23" spans="1:9" ht="25.5" customHeight="1" x14ac:dyDescent="0.55000000000000004">
      <c r="A23" s="87" t="s">
        <v>139</v>
      </c>
      <c r="B23" s="91">
        <v>800</v>
      </c>
      <c r="C23" s="91">
        <v>800</v>
      </c>
      <c r="D23" s="91">
        <v>800</v>
      </c>
      <c r="I23" s="36"/>
    </row>
    <row r="24" spans="1:9" ht="25.5" customHeight="1" x14ac:dyDescent="0.55000000000000004">
      <c r="A24" s="87" t="s">
        <v>66</v>
      </c>
      <c r="B24" s="91">
        <v>1000</v>
      </c>
      <c r="C24" s="91">
        <v>200</v>
      </c>
      <c r="D24" s="91">
        <v>500</v>
      </c>
      <c r="I24" s="36"/>
    </row>
    <row r="25" spans="1:9" ht="25.5" customHeight="1" x14ac:dyDescent="0.55000000000000004">
      <c r="A25" s="87" t="s">
        <v>4</v>
      </c>
      <c r="B25" s="91">
        <v>3000</v>
      </c>
      <c r="C25" s="91">
        <v>7200</v>
      </c>
      <c r="D25" s="91">
        <v>6000</v>
      </c>
      <c r="I25" s="36"/>
    </row>
    <row r="26" spans="1:9" ht="25.5" customHeight="1" x14ac:dyDescent="0.55000000000000004">
      <c r="A26" s="87" t="s">
        <v>5</v>
      </c>
      <c r="B26" s="91">
        <v>3700</v>
      </c>
      <c r="C26" s="91">
        <v>4500</v>
      </c>
      <c r="D26" s="91">
        <v>4500</v>
      </c>
      <c r="I26" s="36"/>
    </row>
    <row r="27" spans="1:9" ht="25.5" customHeight="1" x14ac:dyDescent="0.55000000000000004">
      <c r="A27" s="87" t="s">
        <v>105</v>
      </c>
      <c r="B27" s="92">
        <v>1200</v>
      </c>
      <c r="C27" s="92">
        <v>1200</v>
      </c>
      <c r="D27" s="92">
        <v>1200</v>
      </c>
      <c r="I27" s="36"/>
    </row>
    <row r="28" spans="1:9" ht="25.5" customHeight="1" x14ac:dyDescent="0.5">
      <c r="A28" s="93" t="s">
        <v>110</v>
      </c>
      <c r="B28" s="88">
        <f>SUM(B20:B27)</f>
        <v>30390</v>
      </c>
      <c r="C28" s="88">
        <f>SUM(C20:C27)</f>
        <v>33990</v>
      </c>
      <c r="D28" s="88">
        <f>SUM(D20:D27)</f>
        <v>32800</v>
      </c>
      <c r="I28" s="36"/>
    </row>
    <row r="29" spans="1:9" ht="25.5" customHeight="1" x14ac:dyDescent="0.55000000000000004">
      <c r="A29" s="93" t="s">
        <v>106</v>
      </c>
      <c r="B29" s="91"/>
      <c r="C29" s="91"/>
      <c r="D29" s="91"/>
      <c r="I29" s="36"/>
    </row>
    <row r="30" spans="1:9" ht="25.5" customHeight="1" x14ac:dyDescent="0.55000000000000004">
      <c r="A30" s="87" t="s">
        <v>6</v>
      </c>
      <c r="B30" s="91">
        <v>7200</v>
      </c>
      <c r="C30" s="91">
        <v>10000</v>
      </c>
      <c r="D30" s="91">
        <v>11000</v>
      </c>
      <c r="I30" s="36"/>
    </row>
    <row r="31" spans="1:9" ht="25.5" customHeight="1" x14ac:dyDescent="0.55000000000000004">
      <c r="A31" s="87" t="s">
        <v>114</v>
      </c>
      <c r="B31" s="91">
        <v>0</v>
      </c>
      <c r="C31" s="91">
        <v>0</v>
      </c>
      <c r="D31" s="91">
        <v>0</v>
      </c>
      <c r="I31" s="36"/>
    </row>
    <row r="32" spans="1:9" ht="25.5" customHeight="1" x14ac:dyDescent="0.55000000000000004">
      <c r="A32" s="87" t="s">
        <v>61</v>
      </c>
      <c r="B32" s="91">
        <v>688</v>
      </c>
      <c r="C32" s="91">
        <v>688</v>
      </c>
      <c r="D32" s="91">
        <v>688</v>
      </c>
      <c r="I32" s="36"/>
    </row>
    <row r="33" spans="1:11" ht="25.5" customHeight="1" x14ac:dyDescent="0.55000000000000004">
      <c r="A33" s="87" t="s">
        <v>15</v>
      </c>
      <c r="B33" s="91">
        <v>2000</v>
      </c>
      <c r="C33" s="91">
        <v>2300</v>
      </c>
      <c r="D33" s="91">
        <v>2400</v>
      </c>
      <c r="I33" s="36"/>
    </row>
    <row r="34" spans="1:11" ht="25.5" customHeight="1" x14ac:dyDescent="0.5">
      <c r="A34" s="93" t="s">
        <v>111</v>
      </c>
      <c r="B34" s="88">
        <f>SUM(B30:B33)</f>
        <v>9888</v>
      </c>
      <c r="C34" s="88">
        <f>SUM(C30:C33)</f>
        <v>12988</v>
      </c>
      <c r="D34" s="88">
        <f>SUM(D30:D33)</f>
        <v>14088</v>
      </c>
      <c r="I34" s="36"/>
    </row>
    <row r="35" spans="1:11" ht="25.5" customHeight="1" x14ac:dyDescent="0.55000000000000004">
      <c r="A35" s="93" t="s">
        <v>107</v>
      </c>
      <c r="B35" s="91"/>
      <c r="C35" s="91"/>
      <c r="D35" s="91"/>
      <c r="I35" s="36"/>
    </row>
    <row r="36" spans="1:11" ht="25.5" customHeight="1" x14ac:dyDescent="0.55000000000000004">
      <c r="A36" s="87" t="s">
        <v>12</v>
      </c>
      <c r="B36" s="91">
        <v>8300</v>
      </c>
      <c r="C36" s="91">
        <v>6000</v>
      </c>
      <c r="D36" s="91">
        <v>6100</v>
      </c>
      <c r="I36" s="36"/>
    </row>
    <row r="37" spans="1:11" ht="25.5" customHeight="1" x14ac:dyDescent="0.55000000000000004">
      <c r="A37" s="87" t="s">
        <v>13</v>
      </c>
      <c r="B37" s="91">
        <v>4500</v>
      </c>
      <c r="C37" s="91">
        <v>4200</v>
      </c>
      <c r="D37" s="91">
        <v>4500</v>
      </c>
      <c r="E37" s="36">
        <f>2208*12</f>
        <v>26496</v>
      </c>
      <c r="I37" s="36"/>
    </row>
    <row r="38" spans="1:11" ht="25.5" customHeight="1" x14ac:dyDescent="0.55000000000000004">
      <c r="A38" s="87" t="s">
        <v>14</v>
      </c>
      <c r="B38" s="92">
        <v>4500</v>
      </c>
      <c r="C38" s="92">
        <v>5800</v>
      </c>
      <c r="D38" s="92">
        <v>5800</v>
      </c>
      <c r="I38" s="36"/>
    </row>
    <row r="39" spans="1:11" ht="25.5" customHeight="1" x14ac:dyDescent="0.5">
      <c r="A39" s="93" t="s">
        <v>112</v>
      </c>
      <c r="B39" s="88">
        <f>SUM(B36:B38)</f>
        <v>17300</v>
      </c>
      <c r="C39" s="88">
        <f>SUM(C36:C38)</f>
        <v>16000</v>
      </c>
      <c r="D39" s="88">
        <f>SUM(D36:D38)</f>
        <v>16400</v>
      </c>
      <c r="I39" s="36"/>
    </row>
    <row r="40" spans="1:11" ht="25.5" customHeight="1" x14ac:dyDescent="0.5">
      <c r="A40" s="93" t="s">
        <v>146</v>
      </c>
      <c r="B40" s="88">
        <f>'Reserves 2021'!I12</f>
        <v>28035.690666666669</v>
      </c>
      <c r="C40" s="88">
        <f>2336.31*12</f>
        <v>28035.72</v>
      </c>
      <c r="D40" s="88"/>
      <c r="I40" s="36"/>
    </row>
    <row r="41" spans="1:11" ht="25.5" customHeight="1" x14ac:dyDescent="0.55000000000000004">
      <c r="A41" s="93" t="s">
        <v>108</v>
      </c>
      <c r="B41" s="91"/>
      <c r="C41" s="91"/>
      <c r="D41" s="91"/>
      <c r="I41" s="36"/>
    </row>
    <row r="42" spans="1:11" ht="25.5" customHeight="1" x14ac:dyDescent="0.55000000000000004">
      <c r="A42" s="87" t="s">
        <v>115</v>
      </c>
      <c r="B42" s="91">
        <v>32000</v>
      </c>
      <c r="C42" s="91">
        <v>32000</v>
      </c>
      <c r="D42" s="91">
        <v>32000</v>
      </c>
      <c r="I42" s="36"/>
    </row>
    <row r="43" spans="1:11" ht="25.5" customHeight="1" thickBot="1" x14ac:dyDescent="0.55000000000000004">
      <c r="A43" s="93" t="s">
        <v>113</v>
      </c>
      <c r="B43" s="111">
        <f>SUM(B42:B42)</f>
        <v>32000</v>
      </c>
      <c r="C43" s="111">
        <f>SUM(C42:C42)</f>
        <v>32000</v>
      </c>
      <c r="D43" s="111">
        <v>32000</v>
      </c>
      <c r="I43" s="36"/>
    </row>
    <row r="44" spans="1:11" ht="25.5" customHeight="1" x14ac:dyDescent="0.5">
      <c r="A44" s="93" t="s">
        <v>23</v>
      </c>
      <c r="B44" s="88">
        <f>SUM(B42+B40+B39+B34+B28+B18)</f>
        <v>125633.69066666666</v>
      </c>
      <c r="C44" s="88">
        <f>SUM(C43+C39+C34+C28+C18+C40)</f>
        <v>131033.72</v>
      </c>
      <c r="D44" s="88">
        <f>SUM(D42+D40+D39+D34+D28+D18)</f>
        <v>103308</v>
      </c>
      <c r="I44" s="36"/>
    </row>
    <row r="45" spans="1:11" ht="31.2" thickBot="1" x14ac:dyDescent="0.6">
      <c r="A45" s="87"/>
      <c r="B45" s="91"/>
      <c r="C45" s="91"/>
      <c r="D45" s="91"/>
    </row>
    <row r="46" spans="1:11" s="48" customFormat="1" ht="30" x14ac:dyDescent="0.5">
      <c r="A46" s="94" t="s">
        <v>41</v>
      </c>
      <c r="B46" s="95" t="s">
        <v>65</v>
      </c>
      <c r="C46" s="96" t="s">
        <v>131</v>
      </c>
      <c r="D46" s="97"/>
      <c r="G46" s="49"/>
      <c r="H46" s="50"/>
      <c r="I46" s="49"/>
      <c r="J46" s="49"/>
      <c r="K46" s="49"/>
    </row>
    <row r="47" spans="1:11" s="48" customFormat="1" ht="36" customHeight="1" x14ac:dyDescent="0.55000000000000004">
      <c r="A47" s="98" t="s">
        <v>33</v>
      </c>
      <c r="B47" s="99">
        <v>5.1139999999999998E-2</v>
      </c>
      <c r="C47" s="100">
        <f>D10*B47/12</f>
        <v>440.26425999999998</v>
      </c>
      <c r="D47" s="113">
        <f>C47*6*12</f>
        <v>31699.026720000002</v>
      </c>
      <c r="E47" s="57"/>
      <c r="F47" s="57"/>
      <c r="G47" s="47"/>
      <c r="H47" s="50">
        <f>SUM(C47*6*12)</f>
        <v>31699.026720000002</v>
      </c>
      <c r="I47" s="47"/>
      <c r="J47" s="47"/>
      <c r="K47" s="47"/>
    </row>
    <row r="48" spans="1:11" s="48" customFormat="1" ht="36" customHeight="1" x14ac:dyDescent="0.55000000000000004">
      <c r="A48" s="98" t="s">
        <v>34</v>
      </c>
      <c r="B48" s="99">
        <v>5.679E-2</v>
      </c>
      <c r="C48" s="100">
        <f>D10*B48/12</f>
        <v>488.90510999999998</v>
      </c>
      <c r="D48" s="113">
        <f>C48*6*12</f>
        <v>35201.16792</v>
      </c>
      <c r="E48" s="57"/>
      <c r="F48" s="57"/>
      <c r="G48" s="47"/>
      <c r="H48" s="50">
        <f>SUM(C48*6*12)</f>
        <v>35201.16792</v>
      </c>
      <c r="I48" s="47"/>
      <c r="J48" s="47"/>
      <c r="K48" s="47"/>
    </row>
    <row r="49" spans="1:11" s="48" customFormat="1" ht="36" customHeight="1" x14ac:dyDescent="0.55000000000000004">
      <c r="A49" s="98" t="s">
        <v>35</v>
      </c>
      <c r="B49" s="99">
        <v>5.5509999999999997E-2</v>
      </c>
      <c r="C49" s="100">
        <f>D10*B49/12</f>
        <v>477.88558999999992</v>
      </c>
      <c r="D49" s="113">
        <f>C49*3*12</f>
        <v>17203.881239999999</v>
      </c>
      <c r="E49" s="57"/>
      <c r="F49" s="57"/>
      <c r="G49" s="47"/>
      <c r="H49" s="50">
        <f>SUM(C49*3*12)</f>
        <v>17203.881239999999</v>
      </c>
      <c r="I49" s="47"/>
      <c r="J49" s="47"/>
      <c r="K49" s="47"/>
    </row>
    <row r="50" spans="1:11" s="48" customFormat="1" ht="36" customHeight="1" x14ac:dyDescent="0.55000000000000004">
      <c r="A50" s="101" t="s">
        <v>36</v>
      </c>
      <c r="B50" s="99">
        <v>5.7230000000000003E-2</v>
      </c>
      <c r="C50" s="100">
        <f>D10*B50/12</f>
        <v>492.69307000000003</v>
      </c>
      <c r="D50" s="113">
        <f>C50*12</f>
        <v>5912.3168400000004</v>
      </c>
      <c r="E50" s="57"/>
      <c r="F50" s="57"/>
      <c r="G50" s="47"/>
      <c r="H50" s="50">
        <f>SUM(C50*1*12)</f>
        <v>5912.3168400000004</v>
      </c>
      <c r="I50" s="47"/>
      <c r="J50" s="47"/>
      <c r="K50" s="47"/>
    </row>
    <row r="51" spans="1:11" s="48" customFormat="1" ht="36" customHeight="1" x14ac:dyDescent="0.55000000000000004">
      <c r="A51" s="101" t="s">
        <v>92</v>
      </c>
      <c r="B51" s="99">
        <v>5.9200000000000003E-2</v>
      </c>
      <c r="C51" s="100">
        <f>D10*B51/12</f>
        <v>509.65280000000001</v>
      </c>
      <c r="D51" s="113">
        <f>C51*12</f>
        <v>6115.8335999999999</v>
      </c>
      <c r="E51" s="57"/>
      <c r="F51" s="57"/>
      <c r="G51" s="47"/>
      <c r="H51" s="50">
        <f>SUM(C51*12)</f>
        <v>6115.8335999999999</v>
      </c>
      <c r="I51" s="47"/>
      <c r="J51" s="47"/>
      <c r="K51" s="47"/>
    </row>
    <row r="52" spans="1:11" s="48" customFormat="1" ht="36" customHeight="1" thickBot="1" x14ac:dyDescent="0.6">
      <c r="A52" s="102" t="s">
        <v>38</v>
      </c>
      <c r="B52" s="103">
        <v>6.9459999999999994E-2</v>
      </c>
      <c r="C52" s="104">
        <f>D10*B52/12</f>
        <v>597.98113999999998</v>
      </c>
      <c r="D52" s="113">
        <f>C52*12</f>
        <v>7175.7736800000002</v>
      </c>
      <c r="E52" s="57"/>
      <c r="F52" s="57"/>
      <c r="G52" s="47"/>
      <c r="H52" s="50">
        <f>SUM(C52*12)</f>
        <v>7175.7736800000002</v>
      </c>
      <c r="I52" s="47"/>
      <c r="J52" s="47"/>
      <c r="K52" s="47"/>
    </row>
    <row r="53" spans="1:11" x14ac:dyDescent="0.4">
      <c r="B53" s="37"/>
      <c r="D53" s="114">
        <f>SUM(D47:D52)</f>
        <v>103308</v>
      </c>
      <c r="F53" s="58"/>
      <c r="H53" s="41">
        <f>SUM(H47:H52)</f>
        <v>103308</v>
      </c>
    </row>
    <row r="54" spans="1:11" x14ac:dyDescent="0.4">
      <c r="I54" s="41"/>
    </row>
    <row r="58" spans="1:11" x14ac:dyDescent="0.4">
      <c r="I58" s="41"/>
    </row>
  </sheetData>
  <mergeCells count="2">
    <mergeCell ref="A1:D1"/>
    <mergeCell ref="A2:D2"/>
  </mergeCells>
  <pageMargins left="0.25" right="0.25" top="0.75" bottom="0.75" header="0.3" footer="0.3"/>
  <pageSetup scale="3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1889F-A45D-48E0-96F1-6CEA8F9EFBB1}">
  <dimension ref="A2:O31"/>
  <sheetViews>
    <sheetView topLeftCell="A4" zoomScale="84" zoomScaleNormal="84" workbookViewId="0">
      <selection activeCell="O31" sqref="K25:O31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4.79687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0" width="8.796875" style="68"/>
    <col min="11" max="11" width="29.59765625" style="68" bestFit="1" customWidth="1"/>
    <col min="12" max="12" width="9.19921875" style="68" bestFit="1" customWidth="1"/>
    <col min="13" max="13" width="11.69921875" style="68" customWidth="1"/>
    <col min="14" max="14" width="10.59765625" style="68" customWidth="1"/>
    <col min="15" max="16384" width="8.796875" style="68"/>
  </cols>
  <sheetData>
    <row r="2" spans="1:9" x14ac:dyDescent="0.3">
      <c r="A2" s="159" t="s">
        <v>170</v>
      </c>
      <c r="B2" s="171"/>
      <c r="C2" s="171"/>
      <c r="D2" s="171"/>
      <c r="E2" s="171"/>
      <c r="F2" s="171"/>
      <c r="G2" s="171"/>
      <c r="H2" s="171"/>
      <c r="I2" s="171"/>
    </row>
    <row r="3" spans="1:9" x14ac:dyDescent="0.3">
      <c r="A3" s="172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7" t="s">
        <v>171</v>
      </c>
    </row>
    <row r="4" spans="1:9" x14ac:dyDescent="0.3">
      <c r="A4" s="173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171</v>
      </c>
      <c r="I4" s="173"/>
    </row>
    <row r="5" spans="1:9" ht="28.8" x14ac:dyDescent="0.3">
      <c r="A5" s="69"/>
      <c r="B5" s="69"/>
      <c r="C5" s="69"/>
      <c r="D5" s="69" t="s">
        <v>80</v>
      </c>
      <c r="E5" s="70">
        <v>44561</v>
      </c>
      <c r="F5" s="69" t="s">
        <v>81</v>
      </c>
      <c r="G5" s="69" t="s">
        <v>82</v>
      </c>
      <c r="H5" s="69" t="s">
        <v>83</v>
      </c>
      <c r="I5" s="17" t="s">
        <v>154</v>
      </c>
    </row>
    <row r="6" spans="1:9" x14ac:dyDescent="0.3">
      <c r="A6" s="72" t="s">
        <v>27</v>
      </c>
      <c r="B6" s="73">
        <v>7</v>
      </c>
      <c r="C6" s="74">
        <v>80000</v>
      </c>
      <c r="D6" s="75">
        <v>0.1</v>
      </c>
      <c r="E6" s="76">
        <f t="shared" ref="E6:E11" si="0">$E$12*D6</f>
        <v>10000</v>
      </c>
      <c r="F6" s="73">
        <v>5</v>
      </c>
      <c r="G6" s="76">
        <f t="shared" ref="G6:G12" si="1">C6-E6</f>
        <v>70000</v>
      </c>
      <c r="H6" s="76">
        <f t="shared" ref="H6:H11" si="2">G6/F6</f>
        <v>14000</v>
      </c>
      <c r="I6" s="76">
        <f t="shared" ref="I6:I11" si="3">H6*0.6</f>
        <v>8400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0.5</v>
      </c>
      <c r="E7" s="76">
        <f t="shared" si="0"/>
        <v>50000</v>
      </c>
      <c r="F7" s="73">
        <v>11</v>
      </c>
      <c r="G7" s="76">
        <f t="shared" si="1"/>
        <v>30000</v>
      </c>
      <c r="H7" s="76">
        <f t="shared" si="2"/>
        <v>2727.2727272727275</v>
      </c>
      <c r="I7" s="76">
        <f t="shared" si="3"/>
        <v>1636.3636363636365</v>
      </c>
    </row>
    <row r="8" spans="1:9" x14ac:dyDescent="0.3">
      <c r="A8" s="15" t="s">
        <v>153</v>
      </c>
      <c r="B8" s="73">
        <v>10</v>
      </c>
      <c r="C8" s="74">
        <v>200000</v>
      </c>
      <c r="D8" s="75">
        <v>0.25</v>
      </c>
      <c r="E8" s="76">
        <f t="shared" si="0"/>
        <v>25000</v>
      </c>
      <c r="F8" s="73">
        <v>9</v>
      </c>
      <c r="G8" s="76">
        <f t="shared" si="1"/>
        <v>175000</v>
      </c>
      <c r="H8" s="76">
        <f t="shared" si="2"/>
        <v>19444.444444444445</v>
      </c>
      <c r="I8" s="76">
        <f t="shared" si="3"/>
        <v>11666.666666666666</v>
      </c>
    </row>
    <row r="9" spans="1:9" x14ac:dyDescent="0.3">
      <c r="A9" s="72" t="s">
        <v>85</v>
      </c>
      <c r="B9" s="73">
        <v>15</v>
      </c>
      <c r="C9" s="74">
        <v>60000</v>
      </c>
      <c r="D9" s="75">
        <v>0.05</v>
      </c>
      <c r="E9" s="76">
        <f t="shared" si="0"/>
        <v>5000</v>
      </c>
      <c r="F9" s="73">
        <v>4</v>
      </c>
      <c r="G9" s="76">
        <f t="shared" si="1"/>
        <v>55000</v>
      </c>
      <c r="H9" s="76">
        <f t="shared" si="2"/>
        <v>13750</v>
      </c>
      <c r="I9" s="76">
        <f t="shared" si="3"/>
        <v>8250</v>
      </c>
    </row>
    <row r="10" spans="1:9" x14ac:dyDescent="0.3">
      <c r="A10" s="72" t="s">
        <v>28</v>
      </c>
      <c r="B10" s="73">
        <v>30</v>
      </c>
      <c r="C10" s="74">
        <v>60000</v>
      </c>
      <c r="D10" s="75">
        <v>0.05</v>
      </c>
      <c r="E10" s="76">
        <f t="shared" si="0"/>
        <v>5000</v>
      </c>
      <c r="F10" s="73">
        <v>26</v>
      </c>
      <c r="G10" s="76">
        <f t="shared" si="1"/>
        <v>55000</v>
      </c>
      <c r="H10" s="76">
        <f t="shared" si="2"/>
        <v>2115.3846153846152</v>
      </c>
      <c r="I10" s="76">
        <f t="shared" si="3"/>
        <v>1269.2307692307691</v>
      </c>
    </row>
    <row r="11" spans="1:9" x14ac:dyDescent="0.3">
      <c r="A11" s="72" t="s">
        <v>30</v>
      </c>
      <c r="B11" s="73">
        <v>25</v>
      </c>
      <c r="C11" s="74">
        <v>29000</v>
      </c>
      <c r="D11" s="75">
        <v>0.05</v>
      </c>
      <c r="E11" s="76">
        <f t="shared" si="0"/>
        <v>5000</v>
      </c>
      <c r="F11" s="73">
        <v>14</v>
      </c>
      <c r="G11" s="76">
        <f t="shared" si="1"/>
        <v>24000</v>
      </c>
      <c r="H11" s="76">
        <f t="shared" si="2"/>
        <v>1714.2857142857142</v>
      </c>
      <c r="I11" s="76">
        <f t="shared" si="3"/>
        <v>1028.5714285714284</v>
      </c>
    </row>
    <row r="12" spans="1:9" x14ac:dyDescent="0.3">
      <c r="A12" s="72" t="s">
        <v>86</v>
      </c>
      <c r="B12" s="69"/>
      <c r="C12" s="77">
        <f>SUM(C6:C11)</f>
        <v>509000</v>
      </c>
      <c r="D12" s="78">
        <f>SUM(D6:D11)</f>
        <v>1</v>
      </c>
      <c r="E12" s="24">
        <v>100000</v>
      </c>
      <c r="F12" s="69"/>
      <c r="G12" s="79">
        <f t="shared" si="1"/>
        <v>409000</v>
      </c>
      <c r="H12" s="79">
        <f>SUM(H6:H11)</f>
        <v>53751.387501387508</v>
      </c>
      <c r="I12" s="79">
        <f>SUM(I6:I11)</f>
        <v>32250.832500832501</v>
      </c>
    </row>
    <row r="13" spans="1:9" x14ac:dyDescent="0.3">
      <c r="I13" s="107">
        <f>I12/12</f>
        <v>2687.5693750693749</v>
      </c>
    </row>
    <row r="14" spans="1:9" ht="69" x14ac:dyDescent="0.3">
      <c r="A14" s="80" t="s">
        <v>41</v>
      </c>
      <c r="B14" s="81" t="s">
        <v>65</v>
      </c>
      <c r="C14" s="81" t="s">
        <v>67</v>
      </c>
      <c r="D14" s="82" t="s">
        <v>87</v>
      </c>
      <c r="E14" s="82" t="s">
        <v>88</v>
      </c>
      <c r="F14" s="112" t="s">
        <v>156</v>
      </c>
      <c r="G14" s="112" t="s">
        <v>155</v>
      </c>
      <c r="I14" s="107"/>
    </row>
    <row r="15" spans="1:9" x14ac:dyDescent="0.3">
      <c r="A15" s="83" t="s">
        <v>33</v>
      </c>
      <c r="B15" s="84">
        <v>5.1139999999999998E-2</v>
      </c>
      <c r="C15" s="85">
        <f>SUM('Budget 2022'!C47)</f>
        <v>440.26425999999998</v>
      </c>
      <c r="D15" s="86">
        <f>SUM(H12*B15/12)</f>
        <v>229.0704964017464</v>
      </c>
      <c r="E15" s="85">
        <f t="shared" ref="E15:E20" si="4">SUM(C15+D15)</f>
        <v>669.3347564017464</v>
      </c>
      <c r="F15" s="86">
        <f>SUM(I12*B15/12)</f>
        <v>137.44229784104783</v>
      </c>
      <c r="G15" s="85">
        <f t="shared" ref="G15:G20" si="5">SUM(C15+F15)</f>
        <v>577.70655784104781</v>
      </c>
      <c r="H15" s="116"/>
    </row>
    <row r="16" spans="1:9" x14ac:dyDescent="0.3">
      <c r="A16" s="83" t="s">
        <v>34</v>
      </c>
      <c r="B16" s="84">
        <v>5.679E-2</v>
      </c>
      <c r="C16" s="85">
        <f>SUM('Budget 2022'!C48)</f>
        <v>488.90510999999998</v>
      </c>
      <c r="D16" s="86">
        <f>SUM(H12*B16/12)</f>
        <v>254.37844135031639</v>
      </c>
      <c r="E16" s="85">
        <f t="shared" si="4"/>
        <v>743.28355135031643</v>
      </c>
      <c r="F16" s="86">
        <f>SUM(I12*B16/12)</f>
        <v>152.62706481018981</v>
      </c>
      <c r="G16" s="85">
        <f t="shared" si="5"/>
        <v>641.53217481018976</v>
      </c>
      <c r="H16" s="116"/>
    </row>
    <row r="17" spans="1:15" x14ac:dyDescent="0.3">
      <c r="A17" s="83" t="s">
        <v>35</v>
      </c>
      <c r="B17" s="84">
        <v>5.5509999999999997E-2</v>
      </c>
      <c r="C17" s="85">
        <f>SUM('Budget 2022'!C49)</f>
        <v>477.88558999999992</v>
      </c>
      <c r="D17" s="86">
        <f>SUM(H12*B17/12)</f>
        <v>248.64496001683503</v>
      </c>
      <c r="E17" s="85">
        <f t="shared" si="4"/>
        <v>726.53055001683492</v>
      </c>
      <c r="F17" s="86">
        <f>SUM(I12*B17/12)</f>
        <v>149.18697601010101</v>
      </c>
      <c r="G17" s="85">
        <f t="shared" si="5"/>
        <v>627.0725660101009</v>
      </c>
      <c r="H17" s="116"/>
    </row>
    <row r="18" spans="1:15" x14ac:dyDescent="0.3">
      <c r="A18" s="83" t="s">
        <v>36</v>
      </c>
      <c r="B18" s="84">
        <v>5.7230000000000003E-2</v>
      </c>
      <c r="C18" s="85">
        <f>SUM('Budget 2022'!C50)</f>
        <v>492.69307000000003</v>
      </c>
      <c r="D18" s="86">
        <f>SUM(H12*B18/12)</f>
        <v>256.34932555870063</v>
      </c>
      <c r="E18" s="85">
        <f t="shared" si="4"/>
        <v>749.04239555870072</v>
      </c>
      <c r="F18" s="86">
        <f>SUM(I12*B18/12)</f>
        <v>153.80959533522034</v>
      </c>
      <c r="G18" s="85">
        <f t="shared" si="5"/>
        <v>646.5026653352204</v>
      </c>
      <c r="H18" s="116"/>
    </row>
    <row r="19" spans="1:15" x14ac:dyDescent="0.3">
      <c r="A19" s="83" t="s">
        <v>92</v>
      </c>
      <c r="B19" s="84">
        <v>5.9200000000000003E-2</v>
      </c>
      <c r="C19" s="85">
        <f>SUM('Budget 2022'!C51)</f>
        <v>509.65280000000001</v>
      </c>
      <c r="D19" s="86">
        <f>SUM(H12*B19/12)</f>
        <v>265.17351167351171</v>
      </c>
      <c r="E19" s="85">
        <f t="shared" si="4"/>
        <v>774.82631167351178</v>
      </c>
      <c r="F19" s="86">
        <f>SUM(I12*B19/12)</f>
        <v>159.10410700410702</v>
      </c>
      <c r="G19" s="85">
        <f t="shared" si="5"/>
        <v>668.75690700410701</v>
      </c>
      <c r="H19" s="116"/>
    </row>
    <row r="20" spans="1:15" x14ac:dyDescent="0.3">
      <c r="A20" s="83" t="s">
        <v>38</v>
      </c>
      <c r="B20" s="84">
        <v>6.9459999999999994E-2</v>
      </c>
      <c r="C20" s="85">
        <f>SUM('Budget 2022'!C52)</f>
        <v>597.98113999999998</v>
      </c>
      <c r="D20" s="86">
        <f>SUM(H12*B20/12)</f>
        <v>311.130947987198</v>
      </c>
      <c r="E20" s="85">
        <f t="shared" si="4"/>
        <v>909.11208798719804</v>
      </c>
      <c r="F20" s="86">
        <f>SUM(I12*B20/12)</f>
        <v>186.67856879231877</v>
      </c>
      <c r="G20" s="85">
        <f t="shared" si="5"/>
        <v>784.65970879231872</v>
      </c>
      <c r="H20" s="116"/>
    </row>
    <row r="21" spans="1:15" ht="16.2" thickBot="1" x14ac:dyDescent="0.35"/>
    <row r="22" spans="1:15" x14ac:dyDescent="0.3">
      <c r="A22" s="174" t="s">
        <v>91</v>
      </c>
      <c r="B22" s="175"/>
      <c r="C22" s="175"/>
      <c r="D22" s="175"/>
      <c r="E22" s="175"/>
      <c r="F22" s="175"/>
      <c r="G22" s="175"/>
      <c r="H22" s="176"/>
    </row>
    <row r="23" spans="1:15" ht="16.2" thickBot="1" x14ac:dyDescent="0.35">
      <c r="A23" s="177"/>
      <c r="B23" s="178"/>
      <c r="C23" s="178"/>
      <c r="D23" s="178"/>
      <c r="E23" s="178"/>
      <c r="F23" s="178"/>
      <c r="G23" s="178"/>
      <c r="H23" s="179"/>
    </row>
    <row r="25" spans="1:15" ht="78" x14ac:dyDescent="0.3">
      <c r="A25" s="80" t="s">
        <v>41</v>
      </c>
      <c r="B25" s="81" t="s">
        <v>65</v>
      </c>
      <c r="C25" s="120" t="s">
        <v>172</v>
      </c>
      <c r="D25" s="120" t="s">
        <v>67</v>
      </c>
      <c r="E25" s="119" t="s">
        <v>173</v>
      </c>
      <c r="F25" s="119" t="s">
        <v>174</v>
      </c>
      <c r="K25" s="124" t="s">
        <v>41</v>
      </c>
      <c r="L25" s="124" t="s">
        <v>65</v>
      </c>
      <c r="M25" s="124" t="s">
        <v>172</v>
      </c>
      <c r="N25" s="124" t="s">
        <v>176</v>
      </c>
      <c r="O25" s="124" t="s">
        <v>177</v>
      </c>
    </row>
    <row r="26" spans="1:15" x14ac:dyDescent="0.3">
      <c r="A26" s="83" t="s">
        <v>33</v>
      </c>
      <c r="B26" s="84">
        <v>5.1139999999999998E-2</v>
      </c>
      <c r="C26" s="121">
        <f t="shared" ref="C26:C31" si="6">30000*B26/12</f>
        <v>127.85000000000001</v>
      </c>
      <c r="D26" s="120">
        <v>440.26425999999998</v>
      </c>
      <c r="E26" s="120">
        <f t="shared" ref="E26:E31" si="7">D26+C26</f>
        <v>568.11425999999994</v>
      </c>
      <c r="F26" s="121">
        <f t="shared" ref="F26:F31" si="8">E26+F15</f>
        <v>705.55655784104783</v>
      </c>
      <c r="K26" s="127" t="s">
        <v>33</v>
      </c>
      <c r="L26" s="125">
        <v>5.1139999999999998E-2</v>
      </c>
      <c r="M26" s="121">
        <f t="shared" ref="M26:M31" si="9">30000*L26/12</f>
        <v>127.85000000000001</v>
      </c>
      <c r="N26" s="126">
        <v>669.3347564017464</v>
      </c>
      <c r="O26" s="128">
        <f t="shared" ref="O26:O31" si="10">SUM(M26+N26)</f>
        <v>797.18475640174643</v>
      </c>
    </row>
    <row r="27" spans="1:15" x14ac:dyDescent="0.3">
      <c r="A27" s="83" t="s">
        <v>34</v>
      </c>
      <c r="B27" s="84">
        <v>5.679E-2</v>
      </c>
      <c r="C27" s="121">
        <f t="shared" si="6"/>
        <v>141.97499999999999</v>
      </c>
      <c r="D27" s="120">
        <v>488.90510999999998</v>
      </c>
      <c r="E27" s="120">
        <f t="shared" si="7"/>
        <v>630.88010999999995</v>
      </c>
      <c r="F27" s="121">
        <f t="shared" si="8"/>
        <v>783.50717481018978</v>
      </c>
      <c r="K27" s="127" t="s">
        <v>34</v>
      </c>
      <c r="L27" s="125">
        <v>5.679E-2</v>
      </c>
      <c r="M27" s="121">
        <f t="shared" si="9"/>
        <v>141.97499999999999</v>
      </c>
      <c r="N27" s="126">
        <v>743.28355135031643</v>
      </c>
      <c r="O27" s="128">
        <f t="shared" si="10"/>
        <v>885.25855135031645</v>
      </c>
    </row>
    <row r="28" spans="1:15" x14ac:dyDescent="0.3">
      <c r="A28" s="83" t="s">
        <v>35</v>
      </c>
      <c r="B28" s="84">
        <v>5.5509999999999997E-2</v>
      </c>
      <c r="C28" s="121">
        <f t="shared" si="6"/>
        <v>138.77500000000001</v>
      </c>
      <c r="D28" s="120">
        <v>477.88558999999992</v>
      </c>
      <c r="E28" s="120">
        <f t="shared" si="7"/>
        <v>616.66058999999996</v>
      </c>
      <c r="F28" s="121">
        <f t="shared" si="8"/>
        <v>765.84756601010099</v>
      </c>
      <c r="K28" s="127" t="s">
        <v>35</v>
      </c>
      <c r="L28" s="125">
        <v>5.5509999999999997E-2</v>
      </c>
      <c r="M28" s="121">
        <f t="shared" si="9"/>
        <v>138.77500000000001</v>
      </c>
      <c r="N28" s="126">
        <v>726.53055001683492</v>
      </c>
      <c r="O28" s="128">
        <f t="shared" si="10"/>
        <v>865.3055500168349</v>
      </c>
    </row>
    <row r="29" spans="1:15" x14ac:dyDescent="0.3">
      <c r="A29" s="83" t="s">
        <v>36</v>
      </c>
      <c r="B29" s="84">
        <v>5.7230000000000003E-2</v>
      </c>
      <c r="C29" s="121">
        <f t="shared" si="6"/>
        <v>143.07500000000002</v>
      </c>
      <c r="D29" s="120">
        <v>492.69307000000003</v>
      </c>
      <c r="E29" s="120">
        <f t="shared" si="7"/>
        <v>635.76807000000008</v>
      </c>
      <c r="F29" s="121">
        <f t="shared" si="8"/>
        <v>789.57766533522044</v>
      </c>
      <c r="K29" s="127" t="s">
        <v>36</v>
      </c>
      <c r="L29" s="125">
        <v>5.7230000000000003E-2</v>
      </c>
      <c r="M29" s="121">
        <f t="shared" si="9"/>
        <v>143.07500000000002</v>
      </c>
      <c r="N29" s="126">
        <v>749.04239555870072</v>
      </c>
      <c r="O29" s="128">
        <f t="shared" si="10"/>
        <v>892.11739555870076</v>
      </c>
    </row>
    <row r="30" spans="1:15" x14ac:dyDescent="0.3">
      <c r="A30" s="83" t="s">
        <v>92</v>
      </c>
      <c r="B30" s="84">
        <v>5.9200000000000003E-2</v>
      </c>
      <c r="C30" s="121">
        <f t="shared" si="6"/>
        <v>148</v>
      </c>
      <c r="D30" s="120">
        <v>509.65280000000001</v>
      </c>
      <c r="E30" s="120">
        <f t="shared" si="7"/>
        <v>657.65280000000007</v>
      </c>
      <c r="F30" s="121">
        <f t="shared" si="8"/>
        <v>816.75690700410712</v>
      </c>
      <c r="K30" s="127" t="s">
        <v>92</v>
      </c>
      <c r="L30" s="125">
        <v>5.9200000000000003E-2</v>
      </c>
      <c r="M30" s="121">
        <f t="shared" si="9"/>
        <v>148</v>
      </c>
      <c r="N30" s="126">
        <v>774.82631167351178</v>
      </c>
      <c r="O30" s="128">
        <f t="shared" si="10"/>
        <v>922.82631167351178</v>
      </c>
    </row>
    <row r="31" spans="1:15" x14ac:dyDescent="0.3">
      <c r="A31" s="83" t="s">
        <v>38</v>
      </c>
      <c r="B31" s="84">
        <v>6.9459999999999994E-2</v>
      </c>
      <c r="C31" s="121">
        <f t="shared" si="6"/>
        <v>173.64999999999998</v>
      </c>
      <c r="D31" s="120">
        <v>597.98113999999998</v>
      </c>
      <c r="E31" s="120">
        <f t="shared" si="7"/>
        <v>771.63113999999996</v>
      </c>
      <c r="F31" s="121">
        <f t="shared" si="8"/>
        <v>958.3097087923187</v>
      </c>
      <c r="K31" s="127" t="s">
        <v>38</v>
      </c>
      <c r="L31" s="125">
        <v>6.9459999999999994E-2</v>
      </c>
      <c r="M31" s="121">
        <f t="shared" si="9"/>
        <v>173.64999999999998</v>
      </c>
      <c r="N31" s="126">
        <v>909.11208798719804</v>
      </c>
      <c r="O31" s="128">
        <f t="shared" si="10"/>
        <v>1082.7620879871979</v>
      </c>
    </row>
  </sheetData>
  <mergeCells count="4">
    <mergeCell ref="A2:I2"/>
    <mergeCell ref="A3:A4"/>
    <mergeCell ref="I3:I4"/>
    <mergeCell ref="A22:H23"/>
  </mergeCells>
  <pageMargins left="0.2" right="0.2" top="0.75" bottom="0.4" header="0.3" footer="0.3"/>
  <pageSetup scale="7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403A-9E83-4B0E-AA35-ADE497D3A27D}">
  <dimension ref="A1:I17"/>
  <sheetViews>
    <sheetView zoomScale="84" workbookViewId="0">
      <selection activeCell="E18" sqref="E18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16.296875" style="68" customWidth="1"/>
    <col min="8" max="8" width="14.59765625" style="68" customWidth="1"/>
    <col min="9" max="16384" width="8.796875" style="68"/>
  </cols>
  <sheetData>
    <row r="1" spans="1:9" x14ac:dyDescent="0.3">
      <c r="A1" s="180" t="s">
        <v>175</v>
      </c>
      <c r="B1" s="180"/>
      <c r="C1" s="180"/>
      <c r="D1" s="180"/>
      <c r="E1" s="180"/>
      <c r="F1" s="123"/>
    </row>
    <row r="2" spans="1:9" ht="41.4" x14ac:dyDescent="0.3">
      <c r="A2" s="80" t="s">
        <v>41</v>
      </c>
      <c r="B2" s="81" t="s">
        <v>65</v>
      </c>
      <c r="C2" s="115" t="s">
        <v>157</v>
      </c>
      <c r="D2" s="112" t="s">
        <v>158</v>
      </c>
      <c r="E2" s="112" t="s">
        <v>160</v>
      </c>
      <c r="G2" s="107"/>
    </row>
    <row r="3" spans="1:9" x14ac:dyDescent="0.3">
      <c r="A3" s="83" t="s">
        <v>33</v>
      </c>
      <c r="B3" s="84">
        <v>5.1139999999999998E-2</v>
      </c>
      <c r="C3" s="85">
        <v>30000</v>
      </c>
      <c r="D3" s="86">
        <f>C3*B3</f>
        <v>1534.2</v>
      </c>
      <c r="E3" s="122">
        <f t="shared" ref="E3:E8" si="0">D3/12</f>
        <v>127.85000000000001</v>
      </c>
    </row>
    <row r="4" spans="1:9" x14ac:dyDescent="0.3">
      <c r="A4" s="83" t="s">
        <v>34</v>
      </c>
      <c r="B4" s="84">
        <v>5.679E-2</v>
      </c>
      <c r="C4" s="85">
        <v>30000</v>
      </c>
      <c r="D4" s="86">
        <f>B4*30000</f>
        <v>1703.7</v>
      </c>
      <c r="E4" s="122">
        <f t="shared" si="0"/>
        <v>141.97499999999999</v>
      </c>
    </row>
    <row r="5" spans="1:9" x14ac:dyDescent="0.3">
      <c r="A5" s="83" t="s">
        <v>35</v>
      </c>
      <c r="B5" s="84">
        <v>5.5509999999999997E-2</v>
      </c>
      <c r="C5" s="85">
        <v>30000</v>
      </c>
      <c r="D5" s="86">
        <f>SUM(B5*30000)</f>
        <v>1665.3</v>
      </c>
      <c r="E5" s="122">
        <f t="shared" si="0"/>
        <v>138.77500000000001</v>
      </c>
    </row>
    <row r="6" spans="1:9" x14ac:dyDescent="0.3">
      <c r="A6" s="83" t="s">
        <v>36</v>
      </c>
      <c r="B6" s="84">
        <v>5.7230000000000003E-2</v>
      </c>
      <c r="C6" s="85">
        <v>30000</v>
      </c>
      <c r="D6" s="86">
        <f>B6*30000</f>
        <v>1716.9</v>
      </c>
      <c r="E6" s="122">
        <f t="shared" si="0"/>
        <v>143.07500000000002</v>
      </c>
    </row>
    <row r="7" spans="1:9" x14ac:dyDescent="0.3">
      <c r="A7" s="83" t="s">
        <v>92</v>
      </c>
      <c r="B7" s="84">
        <v>5.9200000000000003E-2</v>
      </c>
      <c r="C7" s="85">
        <v>30000</v>
      </c>
      <c r="D7" s="86">
        <f>30000*B7</f>
        <v>1776</v>
      </c>
      <c r="E7" s="122">
        <f t="shared" si="0"/>
        <v>148</v>
      </c>
    </row>
    <row r="8" spans="1:9" x14ac:dyDescent="0.3">
      <c r="A8" s="83" t="s">
        <v>38</v>
      </c>
      <c r="B8" s="84">
        <v>6.9459999999999994E-2</v>
      </c>
      <c r="C8" s="85">
        <v>30000</v>
      </c>
      <c r="D8" s="86">
        <f>30000*B8</f>
        <v>2083.7999999999997</v>
      </c>
      <c r="E8" s="122">
        <f t="shared" si="0"/>
        <v>173.64999999999998</v>
      </c>
    </row>
    <row r="11" spans="1:9" ht="65.25" customHeight="1" x14ac:dyDescent="0.3">
      <c r="A11" s="80" t="s">
        <v>41</v>
      </c>
      <c r="B11" s="81" t="s">
        <v>65</v>
      </c>
      <c r="C11" s="115" t="s">
        <v>162</v>
      </c>
      <c r="D11" s="112" t="s">
        <v>158</v>
      </c>
      <c r="E11" s="112" t="s">
        <v>164</v>
      </c>
      <c r="F11" s="112" t="s">
        <v>161</v>
      </c>
      <c r="G11" s="112" t="s">
        <v>163</v>
      </c>
      <c r="I11" s="68">
        <f>4.25%</f>
        <v>4.2500000000000003E-2</v>
      </c>
    </row>
    <row r="12" spans="1:9" x14ac:dyDescent="0.3">
      <c r="A12" s="83" t="s">
        <v>33</v>
      </c>
      <c r="B12" s="84">
        <v>5.1139999999999998E-2</v>
      </c>
      <c r="C12" s="85">
        <f>(150000*I11*5)+150000</f>
        <v>181875</v>
      </c>
      <c r="D12" s="86">
        <f>C12*B12</f>
        <v>9301.0874999999996</v>
      </c>
      <c r="E12" s="86">
        <f t="shared" ref="E12:E17" si="1">SUM(D12/36)</f>
        <v>258.36354166666666</v>
      </c>
      <c r="F12" s="85">
        <f t="shared" ref="F12:F17" si="2">D12/60</f>
        <v>155.018125</v>
      </c>
      <c r="G12" s="86">
        <f t="shared" ref="G12:G17" si="3">D12/84</f>
        <v>110.72723214285713</v>
      </c>
    </row>
    <row r="13" spans="1:9" x14ac:dyDescent="0.3">
      <c r="A13" s="83" t="s">
        <v>34</v>
      </c>
      <c r="B13" s="84">
        <v>5.679E-2</v>
      </c>
      <c r="C13" s="85">
        <v>181875</v>
      </c>
      <c r="D13" s="86">
        <f>B13*C13</f>
        <v>10328.68125</v>
      </c>
      <c r="E13" s="86">
        <f t="shared" si="1"/>
        <v>286.90781249999998</v>
      </c>
      <c r="F13" s="85">
        <f t="shared" si="2"/>
        <v>172.1446875</v>
      </c>
      <c r="G13" s="86">
        <f t="shared" si="3"/>
        <v>122.96049107142856</v>
      </c>
      <c r="I13" s="68">
        <v>1.0425</v>
      </c>
    </row>
    <row r="14" spans="1:9" x14ac:dyDescent="0.3">
      <c r="A14" s="83" t="s">
        <v>35</v>
      </c>
      <c r="B14" s="84">
        <v>5.5509999999999997E-2</v>
      </c>
      <c r="C14" s="85">
        <v>181875</v>
      </c>
      <c r="D14" s="86">
        <f>B14*C14</f>
        <v>10095.881249999999</v>
      </c>
      <c r="E14" s="86">
        <f t="shared" si="1"/>
        <v>280.44114583333328</v>
      </c>
      <c r="F14" s="85">
        <f t="shared" si="2"/>
        <v>168.26468749999998</v>
      </c>
      <c r="G14" s="86">
        <f t="shared" si="3"/>
        <v>120.18906249999998</v>
      </c>
    </row>
    <row r="15" spans="1:9" x14ac:dyDescent="0.3">
      <c r="A15" s="83" t="s">
        <v>36</v>
      </c>
      <c r="B15" s="84">
        <v>5.7230000000000003E-2</v>
      </c>
      <c r="C15" s="85">
        <v>181875</v>
      </c>
      <c r="D15" s="86">
        <f>B15*C15</f>
        <v>10408.706250000001</v>
      </c>
      <c r="E15" s="86">
        <f t="shared" si="1"/>
        <v>289.1307291666667</v>
      </c>
      <c r="F15" s="85">
        <f t="shared" si="2"/>
        <v>173.47843750000001</v>
      </c>
      <c r="G15" s="86">
        <f t="shared" si="3"/>
        <v>123.91316964285716</v>
      </c>
    </row>
    <row r="16" spans="1:9" x14ac:dyDescent="0.3">
      <c r="A16" s="83" t="s">
        <v>92</v>
      </c>
      <c r="B16" s="84">
        <v>5.9200000000000003E-2</v>
      </c>
      <c r="C16" s="85">
        <v>181875</v>
      </c>
      <c r="D16" s="86">
        <f>B16*C16</f>
        <v>10767</v>
      </c>
      <c r="E16" s="86">
        <f t="shared" si="1"/>
        <v>299.08333333333331</v>
      </c>
      <c r="F16" s="85">
        <f t="shared" si="2"/>
        <v>179.45</v>
      </c>
      <c r="G16" s="86">
        <f t="shared" si="3"/>
        <v>128.17857142857142</v>
      </c>
    </row>
    <row r="17" spans="1:7" x14ac:dyDescent="0.3">
      <c r="A17" s="83" t="s">
        <v>38</v>
      </c>
      <c r="B17" s="84">
        <v>6.9459999999999994E-2</v>
      </c>
      <c r="C17" s="85">
        <v>181875</v>
      </c>
      <c r="D17" s="86">
        <f>B17*C17</f>
        <v>12633.037499999999</v>
      </c>
      <c r="E17" s="86">
        <f t="shared" si="1"/>
        <v>350.91770833333328</v>
      </c>
      <c r="F17" s="85">
        <f t="shared" si="2"/>
        <v>210.55062499999997</v>
      </c>
      <c r="G17" s="86">
        <f t="shared" si="3"/>
        <v>150.39330357142856</v>
      </c>
    </row>
  </sheetData>
  <mergeCells count="1">
    <mergeCell ref="A1:E1"/>
  </mergeCells>
  <pageMargins left="0.2" right="0.2" top="0.75" bottom="0.4" header="0.3" footer="0.3"/>
  <pageSetup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03C99-90D0-4F3F-853E-4848F60653C5}">
  <sheetPr>
    <tabColor rgb="FFFFFF00"/>
  </sheetPr>
  <dimension ref="A1:K59"/>
  <sheetViews>
    <sheetView view="pageBreakPreview" topLeftCell="A8" zoomScale="60" zoomScaleSheetLayoutView="40" workbookViewId="0">
      <selection activeCell="C13" sqref="C13:C18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9" t="s">
        <v>179</v>
      </c>
      <c r="B1" s="169"/>
      <c r="C1" s="169"/>
      <c r="D1" s="169"/>
    </row>
    <row r="2" spans="1:9" ht="54" customHeight="1" x14ac:dyDescent="0.4">
      <c r="A2" s="170" t="s">
        <v>180</v>
      </c>
      <c r="B2" s="170"/>
      <c r="C2" s="170"/>
      <c r="D2" s="170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169</v>
      </c>
    </row>
    <row r="4" spans="1:9" ht="25.5" customHeight="1" x14ac:dyDescent="0.55000000000000004">
      <c r="A4" s="87"/>
      <c r="B4" s="89" t="s">
        <v>168</v>
      </c>
      <c r="C4" s="88" t="s">
        <v>178</v>
      </c>
      <c r="D4" s="89" t="s">
        <v>181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108">
        <v>126000</v>
      </c>
      <c r="C6" s="91">
        <v>150000</v>
      </c>
      <c r="D6" s="108">
        <v>126000</v>
      </c>
      <c r="I6" s="36"/>
    </row>
    <row r="7" spans="1:9" ht="25.5" customHeight="1" x14ac:dyDescent="0.55000000000000004">
      <c r="A7" s="87" t="s">
        <v>132</v>
      </c>
      <c r="B7" s="108">
        <v>0</v>
      </c>
      <c r="C7" s="91">
        <v>0</v>
      </c>
      <c r="D7" s="108">
        <v>0</v>
      </c>
      <c r="E7" s="58"/>
      <c r="I7" s="36"/>
    </row>
    <row r="8" spans="1:9" ht="25.5" customHeight="1" x14ac:dyDescent="0.55000000000000004">
      <c r="A8" s="87" t="s">
        <v>58</v>
      </c>
      <c r="B8" s="108">
        <v>100</v>
      </c>
      <c r="C8" s="91">
        <v>200</v>
      </c>
      <c r="D8" s="108">
        <v>100</v>
      </c>
      <c r="I8" s="36"/>
    </row>
    <row r="9" spans="1:9" ht="25.5" customHeight="1" x14ac:dyDescent="0.55000000000000004">
      <c r="A9" s="87" t="s">
        <v>59</v>
      </c>
      <c r="B9" s="109">
        <v>11</v>
      </c>
      <c r="C9" s="92">
        <v>1600</v>
      </c>
      <c r="D9" s="109">
        <v>11</v>
      </c>
      <c r="I9" s="36"/>
    </row>
    <row r="10" spans="1:9" ht="25.5" customHeight="1" x14ac:dyDescent="0.5">
      <c r="A10" s="90" t="s">
        <v>60</v>
      </c>
      <c r="B10" s="110">
        <f>SUM(B6:B9)</f>
        <v>126111</v>
      </c>
      <c r="C10" s="88">
        <f>SUM(C6:C9)</f>
        <v>151800</v>
      </c>
      <c r="D10" s="110">
        <f>SUM(D6:D9)</f>
        <v>126111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300</v>
      </c>
      <c r="C13" s="91">
        <v>500</v>
      </c>
      <c r="D13" s="91">
        <v>500</v>
      </c>
      <c r="I13" s="36"/>
    </row>
    <row r="14" spans="1:9" ht="25.5" customHeight="1" x14ac:dyDescent="0.55000000000000004">
      <c r="A14" s="87" t="s">
        <v>2</v>
      </c>
      <c r="B14" s="91">
        <v>120</v>
      </c>
      <c r="C14" s="91">
        <v>200</v>
      </c>
      <c r="D14" s="91">
        <v>200</v>
      </c>
      <c r="I14" s="36"/>
    </row>
    <row r="15" spans="1:9" ht="25.5" customHeight="1" x14ac:dyDescent="0.55000000000000004">
      <c r="A15" s="87" t="s">
        <v>21</v>
      </c>
      <c r="B15" s="91">
        <v>3600</v>
      </c>
      <c r="C15" s="91">
        <v>3000</v>
      </c>
      <c r="D15" s="91">
        <v>3600</v>
      </c>
      <c r="I15" s="36"/>
    </row>
    <row r="16" spans="1:9" ht="25.5" customHeight="1" x14ac:dyDescent="0.55000000000000004">
      <c r="A16" s="87" t="s">
        <v>195</v>
      </c>
      <c r="B16" s="91">
        <v>0</v>
      </c>
      <c r="C16" s="91">
        <v>250</v>
      </c>
      <c r="D16" s="91">
        <v>250</v>
      </c>
      <c r="I16" s="36"/>
    </row>
    <row r="17" spans="1:9" ht="25.5" customHeight="1" x14ac:dyDescent="0.55000000000000004">
      <c r="A17" s="87" t="s">
        <v>17</v>
      </c>
      <c r="B17" s="91">
        <v>3500</v>
      </c>
      <c r="C17" s="91">
        <v>900</v>
      </c>
      <c r="D17" s="91">
        <v>900</v>
      </c>
      <c r="I17" s="36"/>
    </row>
    <row r="18" spans="1:9" ht="25.5" customHeight="1" x14ac:dyDescent="0.55000000000000004">
      <c r="A18" s="87" t="s">
        <v>64</v>
      </c>
      <c r="B18" s="92">
        <v>500</v>
      </c>
      <c r="C18" s="92">
        <v>10000</v>
      </c>
      <c r="D18" s="92">
        <v>2500</v>
      </c>
      <c r="I18" s="36"/>
    </row>
    <row r="19" spans="1:9" ht="25.5" customHeight="1" x14ac:dyDescent="0.5">
      <c r="A19" s="93" t="s">
        <v>109</v>
      </c>
      <c r="B19" s="88">
        <f>SUM(B13:B18)</f>
        <v>8020</v>
      </c>
      <c r="C19" s="88">
        <f>SUM(C13:C18)</f>
        <v>14850</v>
      </c>
      <c r="D19" s="88">
        <f>SUM(D13:D18)</f>
        <v>7950</v>
      </c>
      <c r="I19" s="36"/>
    </row>
    <row r="20" spans="1:9" ht="25.5" customHeight="1" x14ac:dyDescent="0.55000000000000004">
      <c r="A20" s="93" t="s">
        <v>104</v>
      </c>
      <c r="B20" s="91"/>
      <c r="C20" s="91"/>
      <c r="D20" s="91"/>
      <c r="I20" s="36"/>
    </row>
    <row r="21" spans="1:9" ht="25.5" customHeight="1" x14ac:dyDescent="0.55000000000000004">
      <c r="A21" s="87" t="s">
        <v>3</v>
      </c>
      <c r="B21" s="91">
        <v>9000</v>
      </c>
      <c r="C21" s="91">
        <v>7500</v>
      </c>
      <c r="D21" s="91">
        <v>9000</v>
      </c>
      <c r="I21" s="36"/>
    </row>
    <row r="22" spans="1:9" ht="25.5" customHeight="1" x14ac:dyDescent="0.55000000000000004">
      <c r="A22" s="87" t="s">
        <v>8</v>
      </c>
      <c r="B22" s="91">
        <f>800*12</f>
        <v>9600</v>
      </c>
      <c r="C22" s="91">
        <f>834*12</f>
        <v>10008</v>
      </c>
      <c r="D22" s="91">
        <v>11000</v>
      </c>
      <c r="I22" s="36"/>
    </row>
    <row r="23" spans="1:9" ht="25.5" customHeight="1" x14ac:dyDescent="0.55000000000000004">
      <c r="A23" s="87" t="s">
        <v>138</v>
      </c>
      <c r="B23" s="91">
        <v>1200</v>
      </c>
      <c r="C23" s="91">
        <v>0</v>
      </c>
      <c r="D23" s="91">
        <v>200</v>
      </c>
      <c r="I23" s="36"/>
    </row>
    <row r="24" spans="1:9" ht="25.5" customHeight="1" x14ac:dyDescent="0.55000000000000004">
      <c r="A24" s="87" t="s">
        <v>139</v>
      </c>
      <c r="B24" s="91">
        <v>800</v>
      </c>
      <c r="C24" s="91">
        <v>100</v>
      </c>
      <c r="D24" s="91">
        <v>800</v>
      </c>
      <c r="I24" s="36"/>
    </row>
    <row r="25" spans="1:9" ht="25.5" customHeight="1" x14ac:dyDescent="0.55000000000000004">
      <c r="A25" s="87" t="s">
        <v>66</v>
      </c>
      <c r="B25" s="91">
        <v>500</v>
      </c>
      <c r="C25" s="91">
        <v>14000</v>
      </c>
      <c r="D25" s="91">
        <v>2000</v>
      </c>
      <c r="I25" s="36"/>
    </row>
    <row r="26" spans="1:9" ht="25.5" customHeight="1" x14ac:dyDescent="0.55000000000000004">
      <c r="A26" s="87" t="s">
        <v>4</v>
      </c>
      <c r="B26" s="91">
        <v>6000</v>
      </c>
      <c r="C26" s="91">
        <v>10500</v>
      </c>
      <c r="D26" s="91">
        <v>6000</v>
      </c>
      <c r="I26" s="36"/>
    </row>
    <row r="27" spans="1:9" ht="25.5" customHeight="1" x14ac:dyDescent="0.55000000000000004">
      <c r="A27" s="87" t="s">
        <v>5</v>
      </c>
      <c r="B27" s="91">
        <v>4500</v>
      </c>
      <c r="C27" s="91">
        <v>10000</v>
      </c>
      <c r="D27" s="91">
        <v>4500</v>
      </c>
      <c r="I27" s="36"/>
    </row>
    <row r="28" spans="1:9" ht="25.5" customHeight="1" x14ac:dyDescent="0.55000000000000004">
      <c r="A28" s="87" t="s">
        <v>105</v>
      </c>
      <c r="B28" s="92">
        <v>1200</v>
      </c>
      <c r="C28" s="92"/>
      <c r="D28" s="92">
        <v>1200</v>
      </c>
      <c r="I28" s="36"/>
    </row>
    <row r="29" spans="1:9" ht="25.5" customHeight="1" x14ac:dyDescent="0.5">
      <c r="A29" s="93" t="s">
        <v>110</v>
      </c>
      <c r="B29" s="88">
        <f>SUM(B21:B28)</f>
        <v>32800</v>
      </c>
      <c r="C29" s="88">
        <f>SUM(C21:C28)</f>
        <v>52108</v>
      </c>
      <c r="D29" s="88">
        <f>SUM(D21:D28)</f>
        <v>34700</v>
      </c>
      <c r="I29" s="36"/>
    </row>
    <row r="30" spans="1:9" ht="25.5" customHeight="1" x14ac:dyDescent="0.55000000000000004">
      <c r="A30" s="93" t="s">
        <v>106</v>
      </c>
      <c r="B30" s="91"/>
      <c r="C30" s="91"/>
      <c r="D30" s="91"/>
      <c r="I30" s="36"/>
    </row>
    <row r="31" spans="1:9" ht="25.5" customHeight="1" x14ac:dyDescent="0.55000000000000004">
      <c r="A31" s="87" t="s">
        <v>6</v>
      </c>
      <c r="B31" s="91">
        <v>11000</v>
      </c>
      <c r="C31" s="91">
        <v>13000</v>
      </c>
      <c r="D31" s="91">
        <v>13000</v>
      </c>
      <c r="I31" s="36"/>
    </row>
    <row r="32" spans="1:9" ht="25.5" customHeight="1" x14ac:dyDescent="0.55000000000000004">
      <c r="A32" s="87" t="s">
        <v>114</v>
      </c>
      <c r="B32" s="91">
        <v>0</v>
      </c>
      <c r="C32" s="91">
        <v>0</v>
      </c>
      <c r="D32" s="91">
        <v>100</v>
      </c>
      <c r="I32" s="36"/>
    </row>
    <row r="33" spans="1:11" ht="25.5" customHeight="1" x14ac:dyDescent="0.55000000000000004">
      <c r="A33" s="87" t="s">
        <v>61</v>
      </c>
      <c r="B33" s="91">
        <v>688</v>
      </c>
      <c r="C33" s="91">
        <v>1000</v>
      </c>
      <c r="D33" s="91">
        <v>1000</v>
      </c>
      <c r="I33" s="36"/>
    </row>
    <row r="34" spans="1:11" ht="25.5" customHeight="1" x14ac:dyDescent="0.55000000000000004">
      <c r="A34" s="87" t="s">
        <v>15</v>
      </c>
      <c r="B34" s="91">
        <v>2400</v>
      </c>
      <c r="C34" s="91">
        <v>3500</v>
      </c>
      <c r="D34" s="91">
        <v>3500</v>
      </c>
      <c r="I34" s="36"/>
    </row>
    <row r="35" spans="1:11" ht="25.5" customHeight="1" x14ac:dyDescent="0.5">
      <c r="A35" s="93" t="s">
        <v>111</v>
      </c>
      <c r="B35" s="88">
        <f>SUM(B31:B34)</f>
        <v>14088</v>
      </c>
      <c r="C35" s="88">
        <f>SUM(C31:C34)</f>
        <v>17500</v>
      </c>
      <c r="D35" s="88">
        <f>SUM(D31:D34)</f>
        <v>17600</v>
      </c>
      <c r="I35" s="36"/>
    </row>
    <row r="36" spans="1:11" ht="25.5" customHeight="1" x14ac:dyDescent="0.55000000000000004">
      <c r="A36" s="93" t="s">
        <v>107</v>
      </c>
      <c r="B36" s="91"/>
      <c r="C36" s="91"/>
      <c r="D36" s="91"/>
      <c r="I36" s="36"/>
    </row>
    <row r="37" spans="1:11" ht="25.5" customHeight="1" x14ac:dyDescent="0.55000000000000004">
      <c r="A37" s="87" t="s">
        <v>12</v>
      </c>
      <c r="B37" s="91">
        <v>6100</v>
      </c>
      <c r="C37" s="91">
        <v>8500</v>
      </c>
      <c r="D37" s="91">
        <v>8800</v>
      </c>
      <c r="I37" s="36"/>
    </row>
    <row r="38" spans="1:11" ht="25.5" customHeight="1" x14ac:dyDescent="0.55000000000000004">
      <c r="A38" s="87" t="s">
        <v>13</v>
      </c>
      <c r="B38" s="91">
        <v>4500</v>
      </c>
      <c r="C38" s="91">
        <v>4200</v>
      </c>
      <c r="D38" s="91">
        <v>5100</v>
      </c>
      <c r="E38" s="36">
        <f>2208*12</f>
        <v>26496</v>
      </c>
      <c r="I38" s="36"/>
    </row>
    <row r="39" spans="1:11" ht="25.5" customHeight="1" x14ac:dyDescent="0.55000000000000004">
      <c r="A39" s="87" t="s">
        <v>14</v>
      </c>
      <c r="B39" s="92">
        <v>5800</v>
      </c>
      <c r="C39" s="92">
        <v>4800</v>
      </c>
      <c r="D39" s="92">
        <v>4800</v>
      </c>
      <c r="I39" s="36"/>
    </row>
    <row r="40" spans="1:11" ht="25.5" customHeight="1" x14ac:dyDescent="0.5">
      <c r="A40" s="93" t="s">
        <v>112</v>
      </c>
      <c r="B40" s="88">
        <f>SUM(B37:B39)</f>
        <v>16400</v>
      </c>
      <c r="C40" s="88">
        <f>SUM(C37:C39)</f>
        <v>17500</v>
      </c>
      <c r="D40" s="88">
        <f>SUM(D37:D39)</f>
        <v>18700</v>
      </c>
      <c r="I40" s="36"/>
    </row>
    <row r="41" spans="1:11" ht="25.5" customHeight="1" x14ac:dyDescent="0.5">
      <c r="A41" s="93" t="s">
        <v>146</v>
      </c>
      <c r="B41" s="88"/>
      <c r="C41" s="88">
        <f>4500*12</f>
        <v>54000</v>
      </c>
      <c r="D41" s="88"/>
      <c r="I41" s="36"/>
    </row>
    <row r="42" spans="1:11" ht="25.5" customHeight="1" x14ac:dyDescent="0.55000000000000004">
      <c r="A42" s="93" t="s">
        <v>108</v>
      </c>
      <c r="B42" s="91"/>
      <c r="C42" s="91"/>
      <c r="D42" s="91"/>
      <c r="I42" s="36"/>
    </row>
    <row r="43" spans="1:11" ht="25.5" customHeight="1" x14ac:dyDescent="0.55000000000000004">
      <c r="A43" s="87" t="s">
        <v>115</v>
      </c>
      <c r="B43" s="91">
        <v>32000</v>
      </c>
      <c r="C43" s="91">
        <f>5300*12</f>
        <v>63600</v>
      </c>
      <c r="D43" s="91">
        <v>70000</v>
      </c>
      <c r="I43" s="36"/>
    </row>
    <row r="44" spans="1:11" ht="25.5" customHeight="1" thickBot="1" x14ac:dyDescent="0.55000000000000004">
      <c r="A44" s="93" t="s">
        <v>113</v>
      </c>
      <c r="B44" s="111">
        <v>32000</v>
      </c>
      <c r="C44" s="111">
        <f>SUM(C43:C43)</f>
        <v>63600</v>
      </c>
      <c r="D44" s="111">
        <f>SUM(D43)</f>
        <v>70000</v>
      </c>
      <c r="I44" s="36"/>
    </row>
    <row r="45" spans="1:11" ht="25.5" customHeight="1" x14ac:dyDescent="0.5">
      <c r="A45" s="93" t="s">
        <v>23</v>
      </c>
      <c r="B45" s="88">
        <f>SUM(B43+B41+B40+B35+B29+B19)</f>
        <v>103308</v>
      </c>
      <c r="C45" s="88">
        <f>SUM(C44+C40+C35+C29+C19+C41)</f>
        <v>219558</v>
      </c>
      <c r="D45" s="88">
        <f>SUM(D43+D41+D40+D35+D29+D19)</f>
        <v>148950</v>
      </c>
      <c r="I45" s="36"/>
    </row>
    <row r="46" spans="1:11" ht="31.2" thickBot="1" x14ac:dyDescent="0.6">
      <c r="A46" s="87"/>
      <c r="B46" s="91"/>
      <c r="C46" s="91"/>
      <c r="D46" s="91"/>
    </row>
    <row r="47" spans="1:11" s="48" customFormat="1" ht="30" x14ac:dyDescent="0.5">
      <c r="A47" s="94" t="s">
        <v>41</v>
      </c>
      <c r="B47" s="95" t="s">
        <v>65</v>
      </c>
      <c r="C47" s="96" t="s">
        <v>131</v>
      </c>
      <c r="D47" s="97"/>
      <c r="G47" s="49"/>
      <c r="H47" s="50"/>
      <c r="I47" s="49"/>
      <c r="J47" s="49"/>
      <c r="K47" s="49"/>
    </row>
    <row r="48" spans="1:11" s="48" customFormat="1" ht="36" customHeight="1" x14ac:dyDescent="0.55000000000000004">
      <c r="A48" s="98" t="s">
        <v>33</v>
      </c>
      <c r="B48" s="99">
        <v>5.1139999999999998E-2</v>
      </c>
      <c r="C48" s="100">
        <f>D45*B48/12</f>
        <v>634.77525000000003</v>
      </c>
      <c r="D48" s="113">
        <f>C48*6*12</f>
        <v>45703.817999999999</v>
      </c>
      <c r="E48" s="57"/>
      <c r="F48" s="57"/>
      <c r="G48" s="47"/>
      <c r="H48" s="50">
        <f>SUM(C48*6*12)</f>
        <v>45703.817999999999</v>
      </c>
      <c r="I48" s="47"/>
      <c r="J48" s="47"/>
      <c r="K48" s="47"/>
    </row>
    <row r="49" spans="1:11" s="48" customFormat="1" ht="36" customHeight="1" x14ac:dyDescent="0.55000000000000004">
      <c r="A49" s="98" t="s">
        <v>34</v>
      </c>
      <c r="B49" s="99">
        <v>5.679E-2</v>
      </c>
      <c r="C49" s="100">
        <f>D45*B49/12</f>
        <v>704.90587500000004</v>
      </c>
      <c r="D49" s="113">
        <f>C49*6*12</f>
        <v>50753.223000000005</v>
      </c>
      <c r="E49" s="57"/>
      <c r="F49" s="57"/>
      <c r="G49" s="47"/>
      <c r="H49" s="50">
        <f>SUM(C49*6*12)</f>
        <v>50753.223000000005</v>
      </c>
      <c r="I49" s="47"/>
      <c r="J49" s="47"/>
      <c r="K49" s="47"/>
    </row>
    <row r="50" spans="1:11" s="48" customFormat="1" ht="36" customHeight="1" x14ac:dyDescent="0.55000000000000004">
      <c r="A50" s="98" t="s">
        <v>35</v>
      </c>
      <c r="B50" s="99">
        <v>5.5509999999999997E-2</v>
      </c>
      <c r="C50" s="100">
        <f>D45*B50/12</f>
        <v>689.017875</v>
      </c>
      <c r="D50" s="113">
        <f>C50*3*12</f>
        <v>24804.643499999998</v>
      </c>
      <c r="E50" s="57"/>
      <c r="F50" s="57"/>
      <c r="G50" s="47"/>
      <c r="H50" s="50">
        <f>SUM(C50*3*12)</f>
        <v>24804.643499999998</v>
      </c>
      <c r="I50" s="47"/>
      <c r="J50" s="47"/>
      <c r="K50" s="47"/>
    </row>
    <row r="51" spans="1:11" s="48" customFormat="1" ht="36" customHeight="1" x14ac:dyDescent="0.55000000000000004">
      <c r="A51" s="101" t="s">
        <v>36</v>
      </c>
      <c r="B51" s="99">
        <v>5.7230000000000003E-2</v>
      </c>
      <c r="C51" s="100">
        <f>D45*B51/12</f>
        <v>710.36737500000015</v>
      </c>
      <c r="D51" s="113">
        <f>C51*12</f>
        <v>8524.4085000000014</v>
      </c>
      <c r="E51" s="57"/>
      <c r="F51" s="57"/>
      <c r="G51" s="47"/>
      <c r="H51" s="50">
        <f>SUM(C51*1*12)</f>
        <v>8524.4085000000014</v>
      </c>
      <c r="I51" s="47"/>
      <c r="J51" s="47"/>
      <c r="K51" s="47"/>
    </row>
    <row r="52" spans="1:11" s="48" customFormat="1" ht="36" customHeight="1" x14ac:dyDescent="0.55000000000000004">
      <c r="A52" s="101" t="s">
        <v>92</v>
      </c>
      <c r="B52" s="99">
        <v>5.9200000000000003E-2</v>
      </c>
      <c r="C52" s="100">
        <f>D45*B52/12</f>
        <v>734.82</v>
      </c>
      <c r="D52" s="113">
        <f>C52*12</f>
        <v>8817.84</v>
      </c>
      <c r="E52" s="57"/>
      <c r="F52" s="57"/>
      <c r="G52" s="47"/>
      <c r="H52" s="50">
        <f>SUM(C52*12)</f>
        <v>8817.84</v>
      </c>
      <c r="I52" s="47"/>
      <c r="J52" s="47"/>
      <c r="K52" s="47"/>
    </row>
    <row r="53" spans="1:11" s="48" customFormat="1" ht="36" customHeight="1" thickBot="1" x14ac:dyDescent="0.6">
      <c r="A53" s="102" t="s">
        <v>38</v>
      </c>
      <c r="B53" s="103">
        <v>6.9459999999999994E-2</v>
      </c>
      <c r="C53" s="104">
        <f>D45*B53/12</f>
        <v>862.17224999999996</v>
      </c>
      <c r="D53" s="113">
        <f>C53*12</f>
        <v>10346.066999999999</v>
      </c>
      <c r="E53" s="57"/>
      <c r="F53" s="57"/>
      <c r="G53" s="47"/>
      <c r="H53" s="50">
        <f>SUM(C53*12)</f>
        <v>10346.066999999999</v>
      </c>
      <c r="I53" s="47"/>
      <c r="J53" s="47"/>
      <c r="K53" s="47"/>
    </row>
    <row r="54" spans="1:11" x14ac:dyDescent="0.4">
      <c r="B54" s="37"/>
      <c r="D54" s="114">
        <f>SUM(D48:D53)</f>
        <v>148950.00000000003</v>
      </c>
      <c r="F54" s="58"/>
      <c r="H54" s="41">
        <f>SUM(H48:H53)</f>
        <v>148950.00000000003</v>
      </c>
    </row>
    <row r="55" spans="1:11" x14ac:dyDescent="0.4">
      <c r="I55" s="41"/>
    </row>
    <row r="59" spans="1:11" x14ac:dyDescent="0.4">
      <c r="I59" s="41"/>
    </row>
  </sheetData>
  <mergeCells count="2">
    <mergeCell ref="A1:D1"/>
    <mergeCell ref="A2:D2"/>
  </mergeCells>
  <pageMargins left="0.25" right="0.25" top="0.75" bottom="0.75" header="0.3" footer="0.3"/>
  <pageSetup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topLeftCell="B37" workbookViewId="0">
      <selection activeCell="C40" sqref="C40"/>
    </sheetView>
  </sheetViews>
  <sheetFormatPr defaultColWidth="61.59765625" defaultRowHeight="21" x14ac:dyDescent="0.4"/>
  <cols>
    <col min="1" max="1" width="61.59765625" style="36"/>
    <col min="2" max="4" width="61.59765625" style="41"/>
    <col min="5" max="8" width="61.59765625" style="36"/>
    <col min="9" max="9" width="61.59765625" style="37"/>
    <col min="10" max="16384" width="61.59765625" style="36"/>
  </cols>
  <sheetData>
    <row r="1" spans="1:9" ht="24.6" x14ac:dyDescent="0.4">
      <c r="A1" s="157" t="s">
        <v>96</v>
      </c>
      <c r="B1" s="157"/>
      <c r="C1" s="157"/>
      <c r="D1" s="157"/>
    </row>
    <row r="2" spans="1:9" ht="54" customHeight="1" x14ac:dyDescent="0.4">
      <c r="A2" s="158" t="s">
        <v>95</v>
      </c>
      <c r="B2" s="158"/>
      <c r="C2" s="158"/>
      <c r="D2" s="158"/>
    </row>
    <row r="3" spans="1:9" ht="57" customHeight="1" x14ac:dyDescent="0.4">
      <c r="B3" s="38" t="s">
        <v>53</v>
      </c>
      <c r="C3" s="38" t="s">
        <v>54</v>
      </c>
      <c r="D3" s="38" t="s">
        <v>55</v>
      </c>
    </row>
    <row r="4" spans="1:9" ht="25.5" customHeight="1" x14ac:dyDescent="0.4">
      <c r="B4" s="39">
        <v>2015</v>
      </c>
      <c r="C4" s="38" t="s">
        <v>48</v>
      </c>
      <c r="D4" s="39">
        <v>2016</v>
      </c>
      <c r="I4" s="36"/>
    </row>
    <row r="5" spans="1:9" ht="25.5" customHeight="1" x14ac:dyDescent="0.4">
      <c r="A5" s="40" t="s">
        <v>56</v>
      </c>
      <c r="I5" s="36"/>
    </row>
    <row r="6" spans="1:9" ht="25.5" customHeight="1" x14ac:dyDescent="0.4">
      <c r="A6" s="36" t="s">
        <v>57</v>
      </c>
      <c r="B6" s="41">
        <f>SUM('2015'!G30)</f>
        <v>93481</v>
      </c>
      <c r="C6" s="41">
        <v>110000</v>
      </c>
      <c r="D6" s="41">
        <v>109850</v>
      </c>
      <c r="I6" s="36"/>
    </row>
    <row r="7" spans="1:9" ht="25.5" customHeight="1" x14ac:dyDescent="0.4">
      <c r="A7" s="36" t="s">
        <v>58</v>
      </c>
      <c r="B7" s="41">
        <v>0</v>
      </c>
      <c r="C7" s="41">
        <v>150</v>
      </c>
      <c r="D7" s="41">
        <v>150</v>
      </c>
      <c r="I7" s="36"/>
    </row>
    <row r="8" spans="1:9" ht="25.5" customHeight="1" thickBot="1" x14ac:dyDescent="0.45">
      <c r="A8" s="36" t="s">
        <v>59</v>
      </c>
      <c r="B8" s="42">
        <v>0</v>
      </c>
      <c r="C8" s="42">
        <v>300</v>
      </c>
      <c r="D8" s="42">
        <v>300</v>
      </c>
      <c r="I8" s="36"/>
    </row>
    <row r="9" spans="1:9" ht="25.5" customHeight="1" x14ac:dyDescent="0.4">
      <c r="A9" s="40" t="s">
        <v>60</v>
      </c>
      <c r="B9" s="38">
        <f>SUM(B6:B8)</f>
        <v>93481</v>
      </c>
      <c r="C9" s="38">
        <f>SUM(C6:C8)</f>
        <v>110450</v>
      </c>
      <c r="D9" s="38">
        <f>SUM(D6:D8)</f>
        <v>110300</v>
      </c>
      <c r="I9" s="36"/>
    </row>
    <row r="10" spans="1:9" ht="25.5" customHeight="1" x14ac:dyDescent="0.4">
      <c r="A10" s="43" t="s">
        <v>48</v>
      </c>
      <c r="I10" s="36"/>
    </row>
    <row r="11" spans="1:9" ht="25.5" customHeight="1" x14ac:dyDescent="0.4">
      <c r="A11" s="36" t="s">
        <v>1</v>
      </c>
      <c r="B11" s="41">
        <v>500</v>
      </c>
      <c r="C11" s="41">
        <v>500</v>
      </c>
      <c r="D11" s="41">
        <v>500</v>
      </c>
      <c r="I11" s="36"/>
    </row>
    <row r="12" spans="1:9" ht="25.5" customHeight="1" x14ac:dyDescent="0.4">
      <c r="A12" s="36" t="s">
        <v>2</v>
      </c>
      <c r="B12" s="41">
        <v>128.72</v>
      </c>
      <c r="C12" s="41">
        <v>80</v>
      </c>
      <c r="D12" s="41">
        <v>90</v>
      </c>
      <c r="I12" s="36"/>
    </row>
    <row r="13" spans="1:9" ht="25.5" customHeight="1" x14ac:dyDescent="0.4">
      <c r="A13" s="36" t="s">
        <v>63</v>
      </c>
      <c r="B13" s="41">
        <v>0</v>
      </c>
      <c r="C13" s="41">
        <v>0</v>
      </c>
      <c r="D13" s="41">
        <v>300</v>
      </c>
      <c r="I13" s="36"/>
    </row>
    <row r="14" spans="1:9" ht="25.5" customHeight="1" x14ac:dyDescent="0.4">
      <c r="A14" s="36" t="s">
        <v>64</v>
      </c>
      <c r="B14" s="41">
        <v>0</v>
      </c>
      <c r="C14" s="41">
        <v>1200</v>
      </c>
      <c r="D14" s="41">
        <v>1200</v>
      </c>
      <c r="I14" s="36"/>
    </row>
    <row r="15" spans="1:9" ht="25.5" customHeight="1" x14ac:dyDescent="0.4">
      <c r="A15" s="36" t="s">
        <v>3</v>
      </c>
      <c r="B15" s="41">
        <v>6000</v>
      </c>
      <c r="C15" s="41">
        <v>8000</v>
      </c>
      <c r="D15" s="41">
        <v>8000</v>
      </c>
      <c r="I15" s="36"/>
    </row>
    <row r="16" spans="1:9" ht="25.5" customHeight="1" x14ac:dyDescent="0.4">
      <c r="A16" s="36" t="s">
        <v>66</v>
      </c>
      <c r="B16" s="41">
        <v>0</v>
      </c>
      <c r="C16" s="41">
        <v>0</v>
      </c>
      <c r="D16" s="41">
        <v>2000</v>
      </c>
      <c r="I16" s="36"/>
    </row>
    <row r="17" spans="1:9" ht="25.5" customHeight="1" x14ac:dyDescent="0.4">
      <c r="A17" s="36" t="s">
        <v>4</v>
      </c>
      <c r="B17" s="41">
        <v>3500</v>
      </c>
      <c r="C17" s="41">
        <v>3000</v>
      </c>
      <c r="D17" s="41">
        <v>3500</v>
      </c>
      <c r="I17" s="36"/>
    </row>
    <row r="18" spans="1:9" ht="25.5" customHeight="1" x14ac:dyDescent="0.4">
      <c r="A18" s="36" t="s">
        <v>5</v>
      </c>
      <c r="B18" s="41">
        <v>6500</v>
      </c>
      <c r="C18" s="41">
        <v>9500</v>
      </c>
      <c r="D18" s="41">
        <v>7000</v>
      </c>
      <c r="I18" s="36"/>
    </row>
    <row r="19" spans="1:9" ht="25.5" customHeight="1" x14ac:dyDescent="0.4">
      <c r="A19" s="36" t="s">
        <v>6</v>
      </c>
      <c r="B19" s="41">
        <v>4500</v>
      </c>
      <c r="C19" s="41">
        <v>10500</v>
      </c>
      <c r="D19" s="41">
        <v>8000</v>
      </c>
      <c r="I19" s="36"/>
    </row>
    <row r="20" spans="1:9" ht="25.5" customHeight="1" x14ac:dyDescent="0.4">
      <c r="A20" s="36" t="s">
        <v>61</v>
      </c>
      <c r="B20" s="41">
        <v>0</v>
      </c>
      <c r="C20" s="41">
        <v>1600</v>
      </c>
      <c r="D20" s="41">
        <v>2000</v>
      </c>
      <c r="I20" s="36"/>
    </row>
    <row r="21" spans="1:9" ht="25.5" customHeight="1" x14ac:dyDescent="0.4">
      <c r="A21" s="36" t="s">
        <v>8</v>
      </c>
      <c r="B21" s="41">
        <v>7800</v>
      </c>
      <c r="C21" s="41">
        <f>700*12</f>
        <v>8400</v>
      </c>
      <c r="D21" s="41">
        <v>8400</v>
      </c>
      <c r="I21" s="36"/>
    </row>
    <row r="22" spans="1:9" ht="25.5" customHeight="1" x14ac:dyDescent="0.4">
      <c r="A22" s="36" t="s">
        <v>62</v>
      </c>
      <c r="B22" s="41">
        <v>1000</v>
      </c>
      <c r="C22" s="41">
        <v>0</v>
      </c>
      <c r="D22" s="41">
        <v>2500</v>
      </c>
      <c r="I22" s="36"/>
    </row>
    <row r="23" spans="1:9" ht="25.5" customHeight="1" x14ac:dyDescent="0.4">
      <c r="A23" s="36" t="s">
        <v>9</v>
      </c>
      <c r="B23" s="41">
        <v>1200</v>
      </c>
      <c r="C23" s="41">
        <v>0</v>
      </c>
      <c r="D23" s="41">
        <v>0</v>
      </c>
      <c r="I23" s="36"/>
    </row>
    <row r="24" spans="1:9" ht="25.5" customHeight="1" x14ac:dyDescent="0.4">
      <c r="A24" s="36" t="s">
        <v>10</v>
      </c>
      <c r="B24" s="41">
        <v>2000</v>
      </c>
      <c r="C24" s="41">
        <v>0</v>
      </c>
      <c r="D24" s="41">
        <v>0</v>
      </c>
      <c r="I24" s="36"/>
    </row>
    <row r="25" spans="1:9" ht="25.5" customHeight="1" x14ac:dyDescent="0.4">
      <c r="A25" s="36" t="s">
        <v>11</v>
      </c>
      <c r="B25" s="41">
        <v>700</v>
      </c>
      <c r="C25" s="41">
        <v>0</v>
      </c>
      <c r="D25" s="41">
        <v>450</v>
      </c>
      <c r="I25" s="36"/>
    </row>
    <row r="26" spans="1:9" ht="25.5" customHeight="1" x14ac:dyDescent="0.4">
      <c r="A26" s="36" t="s">
        <v>12</v>
      </c>
      <c r="B26" s="41">
        <v>9000</v>
      </c>
      <c r="C26" s="41">
        <v>13000</v>
      </c>
      <c r="D26" s="41">
        <v>9000</v>
      </c>
      <c r="I26" s="36"/>
    </row>
    <row r="27" spans="1:9" ht="25.5" customHeight="1" x14ac:dyDescent="0.4">
      <c r="A27" s="36" t="s">
        <v>13</v>
      </c>
      <c r="B27" s="41">
        <v>8500</v>
      </c>
      <c r="C27" s="41">
        <v>8500</v>
      </c>
      <c r="D27" s="41">
        <v>10500</v>
      </c>
      <c r="I27" s="36"/>
    </row>
    <row r="28" spans="1:9" ht="25.5" customHeight="1" x14ac:dyDescent="0.4">
      <c r="A28" s="36" t="s">
        <v>14</v>
      </c>
      <c r="B28" s="41">
        <v>3000</v>
      </c>
      <c r="C28" s="41">
        <v>4000</v>
      </c>
      <c r="D28" s="41">
        <f>280*12</f>
        <v>3360</v>
      </c>
      <c r="I28" s="36"/>
    </row>
    <row r="29" spans="1:9" ht="25.5" customHeight="1" x14ac:dyDescent="0.4">
      <c r="A29" s="36" t="s">
        <v>15</v>
      </c>
      <c r="B29" s="41">
        <v>2000</v>
      </c>
      <c r="C29" s="41">
        <v>1600</v>
      </c>
      <c r="D29" s="41">
        <f>1500</f>
        <v>1500</v>
      </c>
      <c r="I29" s="36"/>
    </row>
    <row r="30" spans="1:9" ht="25.5" customHeight="1" x14ac:dyDescent="0.4">
      <c r="A30" s="36" t="s">
        <v>16</v>
      </c>
      <c r="B30" s="41">
        <v>240</v>
      </c>
      <c r="C30" s="41">
        <v>0</v>
      </c>
      <c r="D30" s="41">
        <v>0</v>
      </c>
      <c r="I30" s="36"/>
    </row>
    <row r="31" spans="1:9" ht="25.5" customHeight="1" x14ac:dyDescent="0.4">
      <c r="A31" s="36" t="s">
        <v>17</v>
      </c>
      <c r="B31" s="41">
        <v>200</v>
      </c>
      <c r="C31" s="41">
        <v>300</v>
      </c>
      <c r="D31" s="41">
        <v>400</v>
      </c>
      <c r="I31" s="36"/>
    </row>
    <row r="32" spans="1:9" ht="25.5" customHeight="1" x14ac:dyDescent="0.4">
      <c r="A32" s="36" t="s">
        <v>18</v>
      </c>
      <c r="B32" s="41">
        <v>9746.7800000000007</v>
      </c>
      <c r="C32" s="41">
        <v>11000</v>
      </c>
      <c r="D32" s="41">
        <v>11500</v>
      </c>
      <c r="I32" s="36"/>
    </row>
    <row r="33" spans="1:11" ht="25.5" customHeight="1" x14ac:dyDescent="0.4">
      <c r="A33" s="36" t="s">
        <v>19</v>
      </c>
      <c r="B33" s="41">
        <v>2576</v>
      </c>
      <c r="C33" s="41">
        <v>6200</v>
      </c>
      <c r="D33" s="41">
        <v>6500</v>
      </c>
      <c r="I33" s="36"/>
    </row>
    <row r="34" spans="1:11" ht="25.5" customHeight="1" x14ac:dyDescent="0.4">
      <c r="A34" s="36" t="s">
        <v>20</v>
      </c>
      <c r="B34" s="41">
        <v>18589</v>
      </c>
      <c r="C34" s="41">
        <v>18000</v>
      </c>
      <c r="D34" s="41">
        <v>20000</v>
      </c>
      <c r="I34" s="36"/>
    </row>
    <row r="35" spans="1:11" ht="25.5" customHeight="1" x14ac:dyDescent="0.4">
      <c r="A35" s="36" t="s">
        <v>21</v>
      </c>
      <c r="B35" s="41">
        <v>4800</v>
      </c>
      <c r="C35" s="41">
        <f>300*12</f>
        <v>3600</v>
      </c>
      <c r="D35" s="41">
        <v>3600</v>
      </c>
      <c r="I35" s="36"/>
    </row>
    <row r="36" spans="1:11" ht="25.5" customHeight="1" thickBot="1" x14ac:dyDescent="0.45">
      <c r="A36" s="36" t="s">
        <v>22</v>
      </c>
      <c r="B36" s="42">
        <v>1000.5</v>
      </c>
      <c r="C36" s="42">
        <v>0</v>
      </c>
      <c r="D36" s="42">
        <v>0</v>
      </c>
      <c r="I36" s="36"/>
    </row>
    <row r="37" spans="1:11" ht="25.5" customHeight="1" x14ac:dyDescent="0.4">
      <c r="A37" s="43" t="s">
        <v>23</v>
      </c>
      <c r="B37" s="38">
        <f>SUM(B11:B36)</f>
        <v>93481</v>
      </c>
      <c r="C37" s="38">
        <f>SUM(C11:C36)</f>
        <v>108980</v>
      </c>
      <c r="D37" s="38">
        <f>SUM(D11:D36)</f>
        <v>110300</v>
      </c>
      <c r="I37" s="36"/>
    </row>
    <row r="39" spans="1:11" s="48" customFormat="1" ht="36" customHeight="1" x14ac:dyDescent="0.45">
      <c r="A39" s="44" t="s">
        <v>41</v>
      </c>
      <c r="B39" s="45" t="s">
        <v>65</v>
      </c>
      <c r="C39" s="46" t="s">
        <v>67</v>
      </c>
      <c r="D39" s="47"/>
      <c r="G39" s="49"/>
      <c r="H39" s="50"/>
      <c r="I39" s="49"/>
      <c r="J39" s="49"/>
      <c r="K39" s="49"/>
    </row>
    <row r="40" spans="1:11" s="48" customFormat="1" ht="36" customHeight="1" x14ac:dyDescent="0.45">
      <c r="A40" s="51" t="s">
        <v>33</v>
      </c>
      <c r="B40" s="52">
        <v>5.1139999999999998E-2</v>
      </c>
      <c r="C40" s="50">
        <f>SUM(D37*B40)/12</f>
        <v>470.06183333333337</v>
      </c>
      <c r="D40" s="47"/>
      <c r="G40" s="47"/>
      <c r="H40" s="50">
        <f>SUM(C40*6*12)</f>
        <v>33844.452000000005</v>
      </c>
      <c r="I40" s="47"/>
      <c r="J40" s="47"/>
      <c r="K40" s="47"/>
    </row>
    <row r="41" spans="1:11" s="48" customFormat="1" ht="36" customHeight="1" x14ac:dyDescent="0.45">
      <c r="A41" s="51" t="s">
        <v>34</v>
      </c>
      <c r="B41" s="52">
        <v>5.679E-2</v>
      </c>
      <c r="C41" s="50">
        <f>SUM(D37*B41)/12</f>
        <v>521.99474999999995</v>
      </c>
      <c r="D41" s="47"/>
      <c r="G41" s="47"/>
      <c r="H41" s="50">
        <f>SUM(C41*6*12)</f>
        <v>37583.622000000003</v>
      </c>
      <c r="I41" s="47"/>
      <c r="J41" s="47"/>
      <c r="K41" s="47"/>
    </row>
    <row r="42" spans="1:11" s="48" customFormat="1" ht="36" customHeight="1" x14ac:dyDescent="0.45">
      <c r="A42" s="51" t="s">
        <v>35</v>
      </c>
      <c r="B42" s="52">
        <v>5.5509999999999997E-2</v>
      </c>
      <c r="C42" s="50">
        <f>SUM(D37*B42)/12</f>
        <v>510.22941666666662</v>
      </c>
      <c r="D42" s="47"/>
      <c r="G42" s="47"/>
      <c r="H42" s="50">
        <f>SUM(C42*3*12)</f>
        <v>18368.258999999998</v>
      </c>
      <c r="I42" s="47"/>
      <c r="J42" s="47"/>
      <c r="K42" s="47"/>
    </row>
    <row r="43" spans="1:11" s="48" customFormat="1" ht="36" customHeight="1" x14ac:dyDescent="0.45">
      <c r="A43" s="53" t="s">
        <v>36</v>
      </c>
      <c r="B43" s="52">
        <v>5.7230000000000003E-2</v>
      </c>
      <c r="C43" s="50">
        <f>SUM(D37*B43)/12</f>
        <v>526.03908333333334</v>
      </c>
      <c r="D43" s="47"/>
      <c r="G43" s="47"/>
      <c r="H43" s="50">
        <f>SUM(C43*1*12)</f>
        <v>6312.4690000000001</v>
      </c>
      <c r="I43" s="47"/>
      <c r="J43" s="47"/>
      <c r="K43" s="47"/>
    </row>
    <row r="44" spans="1:11" s="48" customFormat="1" ht="36" customHeight="1" x14ac:dyDescent="0.45">
      <c r="A44" s="53" t="s">
        <v>92</v>
      </c>
      <c r="B44" s="52">
        <v>5.9200000000000003E-2</v>
      </c>
      <c r="C44" s="50">
        <f>SUM(D37*B44)/12</f>
        <v>544.14666666666665</v>
      </c>
      <c r="D44" s="47"/>
      <c r="G44" s="47"/>
      <c r="H44" s="50">
        <f>SUM(C44*12)</f>
        <v>6529.76</v>
      </c>
      <c r="I44" s="47"/>
      <c r="J44" s="47"/>
      <c r="K44" s="47"/>
    </row>
    <row r="45" spans="1:11" s="48" customFormat="1" ht="36" customHeight="1" x14ac:dyDescent="0.45">
      <c r="A45" s="53" t="s">
        <v>38</v>
      </c>
      <c r="B45" s="52">
        <v>6.9459999999999994E-2</v>
      </c>
      <c r="C45" s="50">
        <f>SUM(D37*B45/12)</f>
        <v>638.45316666666656</v>
      </c>
      <c r="D45" s="47"/>
      <c r="G45" s="47"/>
      <c r="H45" s="50">
        <f>SUM(C45*12)</f>
        <v>7661.4379999999983</v>
      </c>
      <c r="I45" s="47"/>
      <c r="J45" s="47"/>
      <c r="K45" s="47"/>
    </row>
    <row r="46" spans="1:11" x14ac:dyDescent="0.4">
      <c r="B46" s="37"/>
      <c r="H46" s="41">
        <f>SUM(H40:H45)</f>
        <v>110300</v>
      </c>
    </row>
    <row r="47" spans="1:11" x14ac:dyDescent="0.4">
      <c r="I47" s="41"/>
    </row>
    <row r="51" spans="9:9" x14ac:dyDescent="0.4">
      <c r="I51" s="41"/>
    </row>
  </sheetData>
  <mergeCells count="2">
    <mergeCell ref="A1:D1"/>
    <mergeCell ref="A2:D2"/>
  </mergeCells>
  <pageMargins left="0.75" right="0.75" top="0.48" bottom="0.53" header="0.5" footer="0.5"/>
  <pageSetup scale="4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A36E-E308-42EE-955C-0FCBE6D4404B}">
  <sheetPr>
    <tabColor rgb="FFFFFF00"/>
  </sheetPr>
  <dimension ref="A2:I32"/>
  <sheetViews>
    <sheetView zoomScale="84" zoomScaleNormal="84" workbookViewId="0">
      <selection activeCell="G29" sqref="G29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4.79687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0" width="8.796875" style="68"/>
    <col min="11" max="11" width="29.59765625" style="68" bestFit="1" customWidth="1"/>
    <col min="12" max="12" width="9.19921875" style="68" bestFit="1" customWidth="1"/>
    <col min="13" max="13" width="11.69921875" style="68" customWidth="1"/>
    <col min="14" max="14" width="10.59765625" style="68" customWidth="1"/>
    <col min="15" max="16384" width="8.796875" style="68"/>
  </cols>
  <sheetData>
    <row r="2" spans="1:9" x14ac:dyDescent="0.3">
      <c r="A2" s="159" t="s">
        <v>182</v>
      </c>
      <c r="B2" s="171"/>
      <c r="C2" s="171"/>
      <c r="D2" s="171"/>
      <c r="E2" s="171"/>
      <c r="F2" s="171"/>
      <c r="G2" s="171"/>
      <c r="H2" s="171"/>
      <c r="I2" s="171"/>
    </row>
    <row r="3" spans="1:9" x14ac:dyDescent="0.3">
      <c r="A3" s="172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7" t="s">
        <v>171</v>
      </c>
    </row>
    <row r="4" spans="1:9" x14ac:dyDescent="0.3">
      <c r="A4" s="173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171</v>
      </c>
      <c r="I4" s="173"/>
    </row>
    <row r="5" spans="1:9" ht="28.8" x14ac:dyDescent="0.3">
      <c r="A5" s="69"/>
      <c r="B5" s="69"/>
      <c r="C5" s="69"/>
      <c r="D5" s="69" t="s">
        <v>80</v>
      </c>
      <c r="E5" s="70">
        <v>44926</v>
      </c>
      <c r="F5" s="69" t="s">
        <v>81</v>
      </c>
      <c r="G5" s="69" t="s">
        <v>82</v>
      </c>
      <c r="H5" s="69" t="s">
        <v>83</v>
      </c>
      <c r="I5" s="17" t="s">
        <v>154</v>
      </c>
    </row>
    <row r="6" spans="1:9" x14ac:dyDescent="0.3">
      <c r="A6" s="72" t="s">
        <v>27</v>
      </c>
      <c r="B6" s="73">
        <v>7</v>
      </c>
      <c r="C6" s="74">
        <v>80000</v>
      </c>
      <c r="D6" s="75">
        <v>0.1</v>
      </c>
      <c r="E6" s="76">
        <f>$E$13*D6</f>
        <v>10000</v>
      </c>
      <c r="F6" s="73">
        <v>4</v>
      </c>
      <c r="G6" s="76">
        <f t="shared" ref="G6:G13" si="0">C6-E6</f>
        <v>70000</v>
      </c>
      <c r="H6" s="76">
        <f>G6/F6</f>
        <v>17500</v>
      </c>
      <c r="I6" s="76">
        <f t="shared" ref="I6:I12" si="1">H6*0.6</f>
        <v>10500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0.4</v>
      </c>
      <c r="E7" s="76">
        <f t="shared" ref="E7:E12" si="2">$E$13*D7</f>
        <v>40000</v>
      </c>
      <c r="F7" s="73">
        <v>10</v>
      </c>
      <c r="G7" s="76">
        <f t="shared" si="0"/>
        <v>40000</v>
      </c>
      <c r="H7" s="76">
        <f t="shared" ref="H7:H12" si="3">G7/F7</f>
        <v>4000</v>
      </c>
      <c r="I7" s="76">
        <f t="shared" si="1"/>
        <v>2400</v>
      </c>
    </row>
    <row r="8" spans="1:9" x14ac:dyDescent="0.3">
      <c r="A8" s="15" t="s">
        <v>185</v>
      </c>
      <c r="B8" s="73">
        <v>10</v>
      </c>
      <c r="C8" s="74">
        <v>200000</v>
      </c>
      <c r="D8" s="75">
        <v>0.25</v>
      </c>
      <c r="E8" s="76">
        <f t="shared" si="2"/>
        <v>25000</v>
      </c>
      <c r="F8" s="73">
        <v>8</v>
      </c>
      <c r="G8" s="76">
        <f t="shared" si="0"/>
        <v>175000</v>
      </c>
      <c r="H8" s="76">
        <f t="shared" si="3"/>
        <v>21875</v>
      </c>
      <c r="I8" s="76">
        <f t="shared" si="1"/>
        <v>13125</v>
      </c>
    </row>
    <row r="9" spans="1:9" x14ac:dyDescent="0.3">
      <c r="A9" s="72" t="s">
        <v>85</v>
      </c>
      <c r="B9" s="73">
        <v>15</v>
      </c>
      <c r="C9" s="74">
        <v>60000</v>
      </c>
      <c r="D9" s="75">
        <v>0.05</v>
      </c>
      <c r="E9" s="76">
        <f t="shared" si="2"/>
        <v>5000</v>
      </c>
      <c r="F9" s="73">
        <v>3</v>
      </c>
      <c r="G9" s="76">
        <f t="shared" si="0"/>
        <v>55000</v>
      </c>
      <c r="H9" s="76">
        <f t="shared" si="3"/>
        <v>18333.333333333332</v>
      </c>
      <c r="I9" s="76">
        <f t="shared" si="1"/>
        <v>10999.999999999998</v>
      </c>
    </row>
    <row r="10" spans="1:9" x14ac:dyDescent="0.3">
      <c r="A10" s="15" t="s">
        <v>184</v>
      </c>
      <c r="B10" s="73">
        <v>10</v>
      </c>
      <c r="C10" s="74">
        <v>200000</v>
      </c>
      <c r="D10" s="75">
        <v>0.1</v>
      </c>
      <c r="E10" s="76">
        <f t="shared" si="2"/>
        <v>10000</v>
      </c>
      <c r="F10" s="73">
        <v>10</v>
      </c>
      <c r="G10" s="76">
        <f t="shared" si="0"/>
        <v>190000</v>
      </c>
      <c r="H10" s="76">
        <f t="shared" si="3"/>
        <v>19000</v>
      </c>
      <c r="I10" s="76">
        <f t="shared" si="1"/>
        <v>11400</v>
      </c>
    </row>
    <row r="11" spans="1:9" x14ac:dyDescent="0.3">
      <c r="A11" s="72" t="s">
        <v>28</v>
      </c>
      <c r="B11" s="73">
        <v>30</v>
      </c>
      <c r="C11" s="74">
        <v>60000</v>
      </c>
      <c r="D11" s="75">
        <v>0.05</v>
      </c>
      <c r="E11" s="76">
        <f t="shared" si="2"/>
        <v>5000</v>
      </c>
      <c r="F11" s="73">
        <v>25</v>
      </c>
      <c r="G11" s="76">
        <f t="shared" si="0"/>
        <v>55000</v>
      </c>
      <c r="H11" s="76">
        <f t="shared" si="3"/>
        <v>2200</v>
      </c>
      <c r="I11" s="76">
        <f t="shared" si="1"/>
        <v>1320</v>
      </c>
    </row>
    <row r="12" spans="1:9" x14ac:dyDescent="0.3">
      <c r="A12" s="72" t="s">
        <v>30</v>
      </c>
      <c r="B12" s="73">
        <v>25</v>
      </c>
      <c r="C12" s="74">
        <v>29000</v>
      </c>
      <c r="D12" s="75">
        <v>0.05</v>
      </c>
      <c r="E12" s="76">
        <f t="shared" si="2"/>
        <v>5000</v>
      </c>
      <c r="F12" s="73">
        <v>13</v>
      </c>
      <c r="G12" s="76">
        <f t="shared" si="0"/>
        <v>24000</v>
      </c>
      <c r="H12" s="76">
        <f t="shared" si="3"/>
        <v>1846.1538461538462</v>
      </c>
      <c r="I12" s="76">
        <f t="shared" si="1"/>
        <v>1107.6923076923076</v>
      </c>
    </row>
    <row r="13" spans="1:9" x14ac:dyDescent="0.3">
      <c r="A13" s="72" t="s">
        <v>86</v>
      </c>
      <c r="B13" s="69"/>
      <c r="C13" s="77">
        <f>SUM(C6:C12)</f>
        <v>709000</v>
      </c>
      <c r="D13" s="78">
        <f>SUM(D6:D12)</f>
        <v>1</v>
      </c>
      <c r="E13" s="24">
        <v>100000</v>
      </c>
      <c r="F13" s="69"/>
      <c r="G13" s="79">
        <f t="shared" si="0"/>
        <v>609000</v>
      </c>
      <c r="H13" s="79">
        <f>SUM(H6:H12)</f>
        <v>84754.487179487172</v>
      </c>
      <c r="I13" s="79">
        <f>SUM(I6:I12)</f>
        <v>50852.692307692305</v>
      </c>
    </row>
    <row r="14" spans="1:9" x14ac:dyDescent="0.3">
      <c r="I14" s="107">
        <f>I13/12</f>
        <v>4237.7243589743584</v>
      </c>
    </row>
    <row r="15" spans="1:9" ht="69" x14ac:dyDescent="0.3">
      <c r="A15" s="80" t="s">
        <v>41</v>
      </c>
      <c r="B15" s="81" t="s">
        <v>65</v>
      </c>
      <c r="C15" s="130" t="s">
        <v>67</v>
      </c>
      <c r="D15" s="82" t="s">
        <v>87</v>
      </c>
      <c r="E15" s="82" t="s">
        <v>88</v>
      </c>
      <c r="F15" s="118" t="s">
        <v>156</v>
      </c>
      <c r="G15" s="112" t="s">
        <v>155</v>
      </c>
      <c r="I15" s="107"/>
    </row>
    <row r="16" spans="1:9" x14ac:dyDescent="0.3">
      <c r="A16" s="83" t="s">
        <v>33</v>
      </c>
      <c r="B16" s="84">
        <v>5.1139999999999998E-2</v>
      </c>
      <c r="C16" s="106">
        <f>'Budget 2023'!C48</f>
        <v>634.77525000000003</v>
      </c>
      <c r="D16" s="86">
        <f>SUM(H13*B16/12)</f>
        <v>361.19537286324777</v>
      </c>
      <c r="E16" s="85">
        <f t="shared" ref="E16:E21" si="4">SUM(C16+D16)</f>
        <v>995.97062286324785</v>
      </c>
      <c r="F16" s="129">
        <f>SUM(I13*B16/12)</f>
        <v>216.71722371794871</v>
      </c>
      <c r="G16" s="85">
        <f t="shared" ref="G16:G21" si="5">SUM(C16+F16)</f>
        <v>851.49247371794877</v>
      </c>
      <c r="H16" s="116"/>
    </row>
    <row r="17" spans="1:8" x14ac:dyDescent="0.3">
      <c r="A17" s="83" t="s">
        <v>34</v>
      </c>
      <c r="B17" s="84">
        <v>5.679E-2</v>
      </c>
      <c r="C17" s="106">
        <f>'Budget 2023'!C49</f>
        <v>704.90587500000004</v>
      </c>
      <c r="D17" s="86">
        <f>SUM(H13*B17/12)</f>
        <v>401.10061057692309</v>
      </c>
      <c r="E17" s="85">
        <f t="shared" si="4"/>
        <v>1106.0064855769231</v>
      </c>
      <c r="F17" s="129">
        <f>SUM(I13*B17/12)</f>
        <v>240.66036634615384</v>
      </c>
      <c r="G17" s="85">
        <f t="shared" si="5"/>
        <v>945.5662413461539</v>
      </c>
      <c r="H17" s="116"/>
    </row>
    <row r="18" spans="1:8" x14ac:dyDescent="0.3">
      <c r="A18" s="83" t="s">
        <v>35</v>
      </c>
      <c r="B18" s="84">
        <v>5.5509999999999997E-2</v>
      </c>
      <c r="C18" s="106">
        <f>'Budget 2023'!C50</f>
        <v>689.017875</v>
      </c>
      <c r="D18" s="86">
        <f>SUM(H13*B18/12)</f>
        <v>392.06013194444444</v>
      </c>
      <c r="E18" s="85">
        <f t="shared" si="4"/>
        <v>1081.0780069444445</v>
      </c>
      <c r="F18" s="129">
        <f>SUM(I13*B18/12)</f>
        <v>235.23607916666663</v>
      </c>
      <c r="G18" s="85">
        <f t="shared" si="5"/>
        <v>924.25395416666663</v>
      </c>
      <c r="H18" s="116"/>
    </row>
    <row r="19" spans="1:8" x14ac:dyDescent="0.3">
      <c r="A19" s="83" t="s">
        <v>36</v>
      </c>
      <c r="B19" s="84">
        <v>5.7230000000000003E-2</v>
      </c>
      <c r="C19" s="106">
        <f>'Budget 2023'!C51</f>
        <v>710.36737500000015</v>
      </c>
      <c r="D19" s="86">
        <f>SUM(H13*B19/12)</f>
        <v>404.20827510683762</v>
      </c>
      <c r="E19" s="85">
        <f t="shared" si="4"/>
        <v>1114.5756501068377</v>
      </c>
      <c r="F19" s="129">
        <f>SUM(I13*B19/12)</f>
        <v>242.52496506410259</v>
      </c>
      <c r="G19" s="85">
        <f t="shared" si="5"/>
        <v>952.89234006410277</v>
      </c>
      <c r="H19" s="116"/>
    </row>
    <row r="20" spans="1:8" x14ac:dyDescent="0.3">
      <c r="A20" s="83" t="s">
        <v>92</v>
      </c>
      <c r="B20" s="84">
        <v>5.9200000000000003E-2</v>
      </c>
      <c r="C20" s="106">
        <f>'Budget 2023'!C52</f>
        <v>734.82</v>
      </c>
      <c r="D20" s="86">
        <f>SUM(H13*B20/12)</f>
        <v>418.12213675213678</v>
      </c>
      <c r="E20" s="85">
        <f t="shared" si="4"/>
        <v>1152.9421367521368</v>
      </c>
      <c r="F20" s="129">
        <f>SUM(I13*B20/12)</f>
        <v>250.87328205128208</v>
      </c>
      <c r="G20" s="85">
        <f t="shared" si="5"/>
        <v>985.69328205128215</v>
      </c>
      <c r="H20" s="116"/>
    </row>
    <row r="21" spans="1:8" x14ac:dyDescent="0.3">
      <c r="A21" s="83" t="s">
        <v>38</v>
      </c>
      <c r="B21" s="84">
        <v>6.9459999999999994E-2</v>
      </c>
      <c r="C21" s="106">
        <f>'Budget 2023'!C53</f>
        <v>862.17224999999996</v>
      </c>
      <c r="D21" s="86">
        <f>SUM(H13*B21/12)</f>
        <v>490.58722329059816</v>
      </c>
      <c r="E21" s="85">
        <f t="shared" si="4"/>
        <v>1352.7594732905982</v>
      </c>
      <c r="F21" s="129">
        <f>SUM(I13*B21/12)</f>
        <v>294.35233397435894</v>
      </c>
      <c r="G21" s="85">
        <f t="shared" si="5"/>
        <v>1156.5245839743588</v>
      </c>
      <c r="H21" s="116"/>
    </row>
    <row r="22" spans="1:8" ht="16.2" thickBot="1" x14ac:dyDescent="0.35"/>
    <row r="23" spans="1:8" x14ac:dyDescent="0.3">
      <c r="A23" s="174" t="s">
        <v>91</v>
      </c>
      <c r="B23" s="175"/>
      <c r="C23" s="175"/>
      <c r="D23" s="175"/>
      <c r="E23" s="175"/>
      <c r="F23" s="175"/>
      <c r="G23" s="175"/>
      <c r="H23" s="176"/>
    </row>
    <row r="24" spans="1:8" ht="16.2" thickBot="1" x14ac:dyDescent="0.35">
      <c r="A24" s="177"/>
      <c r="B24" s="178"/>
      <c r="C24" s="178"/>
      <c r="D24" s="178"/>
      <c r="E24" s="178"/>
      <c r="F24" s="178"/>
      <c r="G24" s="178"/>
      <c r="H24" s="179"/>
    </row>
    <row r="26" spans="1:8" x14ac:dyDescent="0.3">
      <c r="E26" s="68">
        <v>715.33</v>
      </c>
      <c r="F26" s="68">
        <f>E26*6*12</f>
        <v>51503.760000000009</v>
      </c>
    </row>
    <row r="27" spans="1:8" x14ac:dyDescent="0.3">
      <c r="E27" s="68">
        <v>794.36</v>
      </c>
      <c r="F27" s="68">
        <f>E27*12*6</f>
        <v>57193.919999999998</v>
      </c>
    </row>
    <row r="28" spans="1:8" x14ac:dyDescent="0.3">
      <c r="E28" s="68">
        <v>776.46</v>
      </c>
      <c r="F28" s="68">
        <f>E28*3*12</f>
        <v>27952.560000000001</v>
      </c>
      <c r="G28" s="68">
        <f>4480*12</f>
        <v>53760</v>
      </c>
    </row>
    <row r="29" spans="1:8" x14ac:dyDescent="0.3">
      <c r="E29">
        <v>800.52</v>
      </c>
      <c r="F29" s="68">
        <f>E29*12</f>
        <v>9606.24</v>
      </c>
    </row>
    <row r="30" spans="1:8" x14ac:dyDescent="0.3">
      <c r="E30">
        <v>971.59</v>
      </c>
      <c r="F30" s="68">
        <f>E30*12</f>
        <v>11659.08</v>
      </c>
    </row>
    <row r="31" spans="1:8" x14ac:dyDescent="0.3">
      <c r="E31">
        <v>828.07</v>
      </c>
      <c r="F31" s="68">
        <f>E31*12</f>
        <v>9936.84</v>
      </c>
    </row>
    <row r="32" spans="1:8" x14ac:dyDescent="0.3">
      <c r="F32" s="68">
        <f>F26+F27+F28+F29+F30+F31</f>
        <v>167852.4</v>
      </c>
    </row>
  </sheetData>
  <mergeCells count="4">
    <mergeCell ref="A2:I2"/>
    <mergeCell ref="A3:A4"/>
    <mergeCell ref="I3:I4"/>
    <mergeCell ref="A23:H24"/>
  </mergeCells>
  <pageMargins left="0.2" right="0.2" top="0.75" bottom="0.4" header="0.3" footer="0.3"/>
  <pageSetup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36BB-29D3-4B1E-9022-8812849F0EF2}">
  <sheetPr>
    <tabColor rgb="FFFFFF00"/>
  </sheetPr>
  <dimension ref="A1:I59"/>
  <sheetViews>
    <sheetView topLeftCell="A22" zoomScale="136" zoomScaleNormal="136" workbookViewId="0">
      <selection activeCell="D37" sqref="A31:D37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7.296875" style="68" bestFit="1" customWidth="1"/>
    <col min="5" max="5" width="13.59765625" style="68" bestFit="1" customWidth="1"/>
    <col min="6" max="6" width="14.296875" style="68" bestFit="1" customWidth="1"/>
    <col min="7" max="7" width="16.296875" style="68" customWidth="1"/>
    <col min="8" max="8" width="14.59765625" style="68" customWidth="1"/>
    <col min="9" max="9" width="10.69921875" style="68" bestFit="1" customWidth="1"/>
    <col min="10" max="16384" width="8.796875" style="68"/>
  </cols>
  <sheetData>
    <row r="1" spans="1:9" x14ac:dyDescent="0.3">
      <c r="A1" s="180" t="s">
        <v>183</v>
      </c>
      <c r="B1" s="180"/>
      <c r="C1" s="180"/>
      <c r="D1" s="180"/>
      <c r="E1" s="180"/>
      <c r="F1" s="123"/>
    </row>
    <row r="2" spans="1:9" ht="41.4" x14ac:dyDescent="0.3">
      <c r="A2" s="80" t="s">
        <v>41</v>
      </c>
      <c r="B2" s="81" t="s">
        <v>65</v>
      </c>
      <c r="C2" s="115" t="s">
        <v>157</v>
      </c>
      <c r="D2" s="112" t="s">
        <v>158</v>
      </c>
      <c r="E2" s="112" t="s">
        <v>160</v>
      </c>
      <c r="G2" s="107">
        <f>H6+H7</f>
        <v>22716</v>
      </c>
      <c r="H2" s="116">
        <f>C13-G2</f>
        <v>5679</v>
      </c>
    </row>
    <row r="3" spans="1:9" x14ac:dyDescent="0.3">
      <c r="A3" s="83" t="s">
        <v>33</v>
      </c>
      <c r="B3" s="84">
        <v>5.1139999999999998E-2</v>
      </c>
      <c r="C3" s="85">
        <v>250000</v>
      </c>
      <c r="D3" s="86">
        <f>C3*B3</f>
        <v>12785</v>
      </c>
      <c r="E3" s="122">
        <f t="shared" ref="E3:E8" si="0">D3/12</f>
        <v>1065.4166666666667</v>
      </c>
    </row>
    <row r="4" spans="1:9" x14ac:dyDescent="0.3">
      <c r="A4" s="83" t="s">
        <v>34</v>
      </c>
      <c r="B4" s="84">
        <v>5.679E-2</v>
      </c>
      <c r="C4" s="85">
        <v>250000</v>
      </c>
      <c r="D4" s="86">
        <f>B4*250000</f>
        <v>14197.5</v>
      </c>
      <c r="E4" s="122">
        <f t="shared" si="0"/>
        <v>1183.125</v>
      </c>
      <c r="F4" s="68">
        <f>288.89*2</f>
        <v>577.78</v>
      </c>
      <c r="G4" s="116">
        <f>F13*12</f>
        <v>6627.393</v>
      </c>
      <c r="H4" s="68">
        <f>F5-F4</f>
        <v>16755.62</v>
      </c>
    </row>
    <row r="5" spans="1:9" x14ac:dyDescent="0.3">
      <c r="A5" s="83" t="s">
        <v>35</v>
      </c>
      <c r="B5" s="84">
        <v>5.5509999999999997E-2</v>
      </c>
      <c r="C5" s="85">
        <v>250000</v>
      </c>
      <c r="D5" s="86">
        <f>SUM(B5*30000)</f>
        <v>1665.3</v>
      </c>
      <c r="E5" s="122">
        <f t="shared" si="0"/>
        <v>138.77500000000001</v>
      </c>
      <c r="F5" s="68">
        <f>288.89*60</f>
        <v>17333.399999999998</v>
      </c>
      <c r="G5" s="116">
        <f>F13*48</f>
        <v>26509.572</v>
      </c>
    </row>
    <row r="6" spans="1:9" x14ac:dyDescent="0.3">
      <c r="A6" s="83" t="s">
        <v>36</v>
      </c>
      <c r="B6" s="84">
        <v>5.7230000000000003E-2</v>
      </c>
      <c r="C6" s="85">
        <v>250000</v>
      </c>
      <c r="D6" s="86">
        <f>B6*30000</f>
        <v>1716.9</v>
      </c>
      <c r="E6" s="122">
        <f t="shared" si="0"/>
        <v>143.07500000000002</v>
      </c>
      <c r="F6" s="107">
        <f>(F5-D4)/60</f>
        <v>52.264999999999965</v>
      </c>
      <c r="G6" s="116">
        <f>G5-G4</f>
        <v>19882.179</v>
      </c>
      <c r="H6" s="116">
        <f>C13-G4</f>
        <v>21767.607</v>
      </c>
    </row>
    <row r="7" spans="1:9" x14ac:dyDescent="0.3">
      <c r="A7" s="83" t="s">
        <v>92</v>
      </c>
      <c r="B7" s="84">
        <v>5.9200000000000003E-2</v>
      </c>
      <c r="C7" s="85">
        <v>250000</v>
      </c>
      <c r="D7" s="86">
        <f>30000*B7</f>
        <v>1776</v>
      </c>
      <c r="E7" s="122">
        <f t="shared" si="0"/>
        <v>148</v>
      </c>
      <c r="F7" s="68">
        <f>14197.5-577.78+52.27+52.27+52.27</f>
        <v>13776.53</v>
      </c>
      <c r="H7" s="116">
        <f>H8*12</f>
        <v>948.39299999999923</v>
      </c>
    </row>
    <row r="8" spans="1:9" x14ac:dyDescent="0.3">
      <c r="A8" s="83" t="s">
        <v>38</v>
      </c>
      <c r="B8" s="84">
        <v>6.9459999999999994E-2</v>
      </c>
      <c r="C8" s="85">
        <v>250000</v>
      </c>
      <c r="D8" s="86">
        <f>30000*B8</f>
        <v>2083.7999999999997</v>
      </c>
      <c r="E8" s="122">
        <f t="shared" si="0"/>
        <v>173.64999999999998</v>
      </c>
      <c r="G8" s="116">
        <f>F13*60</f>
        <v>33136.964999999997</v>
      </c>
      <c r="H8" s="116">
        <f>(G8-C13)/60</f>
        <v>79.032749999999936</v>
      </c>
    </row>
    <row r="10" spans="1:9" x14ac:dyDescent="0.3">
      <c r="F10" s="107">
        <v>583500</v>
      </c>
    </row>
    <row r="11" spans="1:9" ht="65.25" customHeight="1" x14ac:dyDescent="0.3">
      <c r="A11" s="80" t="s">
        <v>41</v>
      </c>
      <c r="B11" s="81" t="s">
        <v>65</v>
      </c>
      <c r="C11" s="115" t="s">
        <v>187</v>
      </c>
      <c r="D11" s="112" t="s">
        <v>158</v>
      </c>
      <c r="E11" s="112" t="s">
        <v>164</v>
      </c>
      <c r="F11" s="112" t="s">
        <v>188</v>
      </c>
      <c r="G11" s="112" t="s">
        <v>163</v>
      </c>
      <c r="H11" s="112" t="s">
        <v>186</v>
      </c>
      <c r="I11" s="68">
        <f>7%</f>
        <v>7.0000000000000007E-2</v>
      </c>
    </row>
    <row r="12" spans="1:9" x14ac:dyDescent="0.3">
      <c r="A12" s="83" t="s">
        <v>33</v>
      </c>
      <c r="B12" s="84">
        <v>5.1139999999999998E-2</v>
      </c>
      <c r="C12" s="106">
        <f>(500000*B12)</f>
        <v>25570</v>
      </c>
      <c r="D12" s="86">
        <f>SUM(C12*6)</f>
        <v>153420</v>
      </c>
      <c r="E12" s="86">
        <f>C12/36*1.07</f>
        <v>759.99722222222238</v>
      </c>
      <c r="F12" s="85">
        <f>SUM(F10*B12)/60</f>
        <v>497.3365</v>
      </c>
      <c r="G12" s="86">
        <f>C12/84*1.07</f>
        <v>325.71309523809526</v>
      </c>
      <c r="H12" s="86">
        <f>C12/120*1.07</f>
        <v>227.9991666666667</v>
      </c>
      <c r="I12" s="107"/>
    </row>
    <row r="13" spans="1:9" x14ac:dyDescent="0.3">
      <c r="A13" s="83" t="s">
        <v>34</v>
      </c>
      <c r="B13" s="84">
        <v>5.679E-2</v>
      </c>
      <c r="C13" s="106">
        <f>SUM(500000*B13)</f>
        <v>28395</v>
      </c>
      <c r="D13" s="86">
        <f>SUM(C13*6)</f>
        <v>170370</v>
      </c>
      <c r="E13" s="86">
        <f t="shared" ref="E13:E17" si="1">C13/36*1.07</f>
        <v>843.96250000000009</v>
      </c>
      <c r="F13" s="85">
        <f>F10*B13/60</f>
        <v>552.28274999999996</v>
      </c>
      <c r="G13" s="86">
        <f t="shared" ref="G13:G17" si="2">C13/84*1.07</f>
        <v>361.6982142857143</v>
      </c>
      <c r="H13" s="86">
        <f t="shared" ref="H13:H17" si="3">C13/120*1.07</f>
        <v>253.18875000000003</v>
      </c>
      <c r="I13" s="68">
        <v>1.0425</v>
      </c>
    </row>
    <row r="14" spans="1:9" x14ac:dyDescent="0.3">
      <c r="A14" s="83" t="s">
        <v>35</v>
      </c>
      <c r="B14" s="84">
        <v>5.5509999999999997E-2</v>
      </c>
      <c r="C14" s="106">
        <f>SUM(500000*B14)</f>
        <v>27755</v>
      </c>
      <c r="D14" s="86">
        <f>SUM(C14*3)</f>
        <v>83265</v>
      </c>
      <c r="E14" s="86">
        <f t="shared" si="1"/>
        <v>824.94027777777774</v>
      </c>
      <c r="F14" s="85">
        <f>F10*B14/60</f>
        <v>539.83474999999999</v>
      </c>
      <c r="G14" s="86">
        <f t="shared" si="2"/>
        <v>353.54583333333335</v>
      </c>
      <c r="H14" s="86">
        <f t="shared" si="3"/>
        <v>247.48208333333335</v>
      </c>
    </row>
    <row r="15" spans="1:9" x14ac:dyDescent="0.3">
      <c r="A15" s="83" t="s">
        <v>36</v>
      </c>
      <c r="B15" s="84">
        <v>5.7230000000000003E-2</v>
      </c>
      <c r="C15" s="106">
        <f>SUM(500000*B15)</f>
        <v>28615</v>
      </c>
      <c r="D15" s="86">
        <f>SUM(C15)</f>
        <v>28615</v>
      </c>
      <c r="E15" s="86">
        <f t="shared" si="1"/>
        <v>850.50138888888887</v>
      </c>
      <c r="F15" s="85">
        <f>F10*B15/60</f>
        <v>556.56175000000007</v>
      </c>
      <c r="G15" s="86">
        <f t="shared" si="2"/>
        <v>364.50059523809529</v>
      </c>
      <c r="H15" s="86">
        <f t="shared" si="3"/>
        <v>255.1504166666667</v>
      </c>
    </row>
    <row r="16" spans="1:9" x14ac:dyDescent="0.3">
      <c r="A16" s="83" t="s">
        <v>92</v>
      </c>
      <c r="B16" s="84">
        <v>5.9200000000000003E-2</v>
      </c>
      <c r="C16" s="106">
        <f>SUM(500000*B16)</f>
        <v>29600</v>
      </c>
      <c r="D16" s="86">
        <f>SUM(C16)</f>
        <v>29600</v>
      </c>
      <c r="E16" s="86">
        <f t="shared" si="1"/>
        <v>879.77777777777783</v>
      </c>
      <c r="F16" s="85">
        <f>F10*B16/60</f>
        <v>575.72</v>
      </c>
      <c r="G16" s="86">
        <f t="shared" si="2"/>
        <v>377.04761904761909</v>
      </c>
      <c r="H16" s="86">
        <f t="shared" si="3"/>
        <v>263.93333333333334</v>
      </c>
    </row>
    <row r="17" spans="1:8" x14ac:dyDescent="0.3">
      <c r="A17" s="83" t="s">
        <v>38</v>
      </c>
      <c r="B17" s="84">
        <v>6.9459999999999994E-2</v>
      </c>
      <c r="C17" s="106">
        <f>SUM(500000*B17)</f>
        <v>34730</v>
      </c>
      <c r="D17" s="86">
        <f>SUM(C17)</f>
        <v>34730</v>
      </c>
      <c r="E17" s="86">
        <f t="shared" si="1"/>
        <v>1032.2527777777777</v>
      </c>
      <c r="F17" s="85">
        <f>F10*B17/60</f>
        <v>675.49849999999992</v>
      </c>
      <c r="G17" s="86">
        <f t="shared" si="2"/>
        <v>442.39404761904768</v>
      </c>
      <c r="H17" s="86">
        <f t="shared" si="3"/>
        <v>309.67583333333334</v>
      </c>
    </row>
    <row r="18" spans="1:8" x14ac:dyDescent="0.3">
      <c r="C18" s="116"/>
      <c r="D18" s="107">
        <f>SUM(D12:D17)</f>
        <v>500000</v>
      </c>
    </row>
    <row r="19" spans="1:8" x14ac:dyDescent="0.3">
      <c r="F19" s="116">
        <f>F12*60*6</f>
        <v>179041.13999999998</v>
      </c>
    </row>
    <row r="20" spans="1:8" ht="46.8" x14ac:dyDescent="0.3">
      <c r="A20" s="139" t="s">
        <v>41</v>
      </c>
      <c r="B20" s="81" t="s">
        <v>65</v>
      </c>
      <c r="C20" s="115" t="s">
        <v>201</v>
      </c>
      <c r="D20" s="124" t="s">
        <v>202</v>
      </c>
      <c r="E20" s="124" t="s">
        <v>203</v>
      </c>
      <c r="F20" s="133"/>
    </row>
    <row r="21" spans="1:8" x14ac:dyDescent="0.3">
      <c r="A21" s="83" t="s">
        <v>33</v>
      </c>
      <c r="B21" s="84">
        <v>5.1139999999999998E-2</v>
      </c>
      <c r="C21" s="85">
        <f>D28*B21</f>
        <v>19452.5503532</v>
      </c>
      <c r="D21" s="131">
        <f>(E28*B21)/60</f>
        <v>394.42758027999997</v>
      </c>
      <c r="E21" s="131">
        <f t="shared" ref="E21:E26" si="4">D21*60</f>
        <v>23665.654816799997</v>
      </c>
      <c r="F21" s="132">
        <f>C21*6</f>
        <v>116715.3021192</v>
      </c>
    </row>
    <row r="22" spans="1:8" x14ac:dyDescent="0.3">
      <c r="A22" s="83" t="s">
        <v>34</v>
      </c>
      <c r="B22" s="84">
        <v>5.679E-2</v>
      </c>
      <c r="C22" s="85">
        <f>D28*B22</f>
        <v>21601.688200200002</v>
      </c>
      <c r="D22" s="131">
        <f>SUM(E28*B22)/60</f>
        <v>438.00434658</v>
      </c>
      <c r="E22" s="131">
        <f t="shared" si="4"/>
        <v>26280.2607948</v>
      </c>
      <c r="F22" s="132">
        <f>C22*6</f>
        <v>129610.1292012</v>
      </c>
    </row>
    <row r="23" spans="1:8" x14ac:dyDescent="0.3">
      <c r="A23" s="83" t="s">
        <v>35</v>
      </c>
      <c r="B23" s="84">
        <v>5.5509999999999997E-2</v>
      </c>
      <c r="C23" s="85">
        <f>D28*B23</f>
        <v>21114.8038738</v>
      </c>
      <c r="D23" s="131">
        <f>SUM(E28*B23)/60</f>
        <v>428.13208801999997</v>
      </c>
      <c r="E23" s="131">
        <f t="shared" si="4"/>
        <v>25687.925281199998</v>
      </c>
      <c r="F23" s="132">
        <f>C23*3</f>
        <v>63344.411621399995</v>
      </c>
    </row>
    <row r="24" spans="1:8" x14ac:dyDescent="0.3">
      <c r="A24" s="83" t="s">
        <v>36</v>
      </c>
      <c r="B24" s="84">
        <v>5.7230000000000003E-2</v>
      </c>
      <c r="C24" s="85">
        <f>D28*B24</f>
        <v>21769.054687400003</v>
      </c>
      <c r="D24" s="131">
        <f>SUM(E28*B24)/60</f>
        <v>441.39793545999999</v>
      </c>
      <c r="E24" s="131">
        <f t="shared" si="4"/>
        <v>26483.8761276</v>
      </c>
      <c r="F24" s="131">
        <f>C24</f>
        <v>21769.054687400003</v>
      </c>
    </row>
    <row r="25" spans="1:8" x14ac:dyDescent="0.3">
      <c r="A25" s="83" t="s">
        <v>92</v>
      </c>
      <c r="B25" s="84">
        <v>5.9200000000000003E-2</v>
      </c>
      <c r="C25" s="85">
        <f>D28*B25</f>
        <v>22518.400096000001</v>
      </c>
      <c r="D25" s="131">
        <f>SUM(E28*B25)/60</f>
        <v>456.59195840000001</v>
      </c>
      <c r="E25" s="131">
        <f t="shared" si="4"/>
        <v>27395.517503999999</v>
      </c>
      <c r="F25" s="131">
        <f>C25</f>
        <v>22518.400096000001</v>
      </c>
    </row>
    <row r="26" spans="1:8" x14ac:dyDescent="0.3">
      <c r="A26" s="83" t="s">
        <v>38</v>
      </c>
      <c r="B26" s="84">
        <v>6.9459999999999994E-2</v>
      </c>
      <c r="C26" s="85">
        <f>D28*B26</f>
        <v>26421.082274799999</v>
      </c>
      <c r="D26" s="131">
        <f>SUM(E28*B26)/60</f>
        <v>535.72428091999996</v>
      </c>
      <c r="E26" s="131">
        <f t="shared" si="4"/>
        <v>32143.456855199998</v>
      </c>
      <c r="F26" s="131">
        <f>C26</f>
        <v>26421.082274799999</v>
      </c>
    </row>
    <row r="27" spans="1:8" x14ac:dyDescent="0.3">
      <c r="A27" s="125"/>
      <c r="B27" s="125"/>
      <c r="C27" s="125"/>
      <c r="D27" s="125"/>
      <c r="E27" s="131"/>
      <c r="F27" s="121">
        <f>SUM(F21:F26)</f>
        <v>380378.38</v>
      </c>
    </row>
    <row r="28" spans="1:8" ht="28.2" x14ac:dyDescent="0.3">
      <c r="A28" s="134" t="s">
        <v>189</v>
      </c>
      <c r="D28" s="134">
        <v>380378.38</v>
      </c>
      <c r="E28" s="68">
        <v>462762.12</v>
      </c>
      <c r="F28" s="68">
        <f>D28/18</f>
        <v>21132.132222222222</v>
      </c>
      <c r="G28" s="68">
        <v>450000</v>
      </c>
      <c r="H28" s="68">
        <v>450000</v>
      </c>
    </row>
    <row r="29" spans="1:8" x14ac:dyDescent="0.3">
      <c r="F29" s="68">
        <f>F28*8</f>
        <v>169057.05777777778</v>
      </c>
    </row>
    <row r="31" spans="1:8" ht="42" thickBot="1" x14ac:dyDescent="0.35">
      <c r="A31" s="139" t="s">
        <v>41</v>
      </c>
      <c r="B31" s="81" t="s">
        <v>65</v>
      </c>
      <c r="C31" s="115" t="s">
        <v>209</v>
      </c>
      <c r="D31" s="141" t="s">
        <v>213</v>
      </c>
      <c r="E31" s="147" t="s">
        <v>210</v>
      </c>
      <c r="F31" s="147" t="s">
        <v>211</v>
      </c>
    </row>
    <row r="32" spans="1:8" ht="16.2" thickBot="1" x14ac:dyDescent="0.35">
      <c r="A32" s="83" t="s">
        <v>33</v>
      </c>
      <c r="B32" s="84">
        <v>5.1139999999999998E-2</v>
      </c>
      <c r="C32" s="85">
        <f>G28*B32</f>
        <v>23013</v>
      </c>
      <c r="D32" s="146">
        <f t="shared" ref="D32:D37" si="5">C32/4</f>
        <v>5753.25</v>
      </c>
      <c r="E32" s="148">
        <v>26081.4</v>
      </c>
      <c r="F32" s="144">
        <f t="shared" ref="F32:F37" si="6">E32-C32</f>
        <v>3068.4000000000015</v>
      </c>
    </row>
    <row r="33" spans="1:8" ht="16.2" thickBot="1" x14ac:dyDescent="0.35">
      <c r="A33" s="83" t="s">
        <v>34</v>
      </c>
      <c r="B33" s="84">
        <v>5.679E-2</v>
      </c>
      <c r="C33" s="85">
        <f>G28*B33</f>
        <v>25555.5</v>
      </c>
      <c r="D33" s="146">
        <f t="shared" si="5"/>
        <v>6388.875</v>
      </c>
      <c r="E33" s="149">
        <v>28962.9</v>
      </c>
      <c r="F33" s="144">
        <f t="shared" si="6"/>
        <v>3407.4000000000015</v>
      </c>
    </row>
    <row r="34" spans="1:8" ht="16.2" thickBot="1" x14ac:dyDescent="0.35">
      <c r="A34" s="83" t="s">
        <v>35</v>
      </c>
      <c r="B34" s="84">
        <v>5.5509999999999997E-2</v>
      </c>
      <c r="C34" s="85">
        <f>G28*B34</f>
        <v>24979.5</v>
      </c>
      <c r="D34" s="146">
        <f t="shared" si="5"/>
        <v>6244.875</v>
      </c>
      <c r="E34" s="149">
        <v>28310.1</v>
      </c>
      <c r="F34" s="144">
        <f t="shared" si="6"/>
        <v>3330.5999999999985</v>
      </c>
    </row>
    <row r="35" spans="1:8" ht="16.2" thickBot="1" x14ac:dyDescent="0.35">
      <c r="A35" s="83" t="s">
        <v>36</v>
      </c>
      <c r="B35" s="84">
        <v>5.7230000000000003E-2</v>
      </c>
      <c r="C35" s="85">
        <f>G28*B35</f>
        <v>25753.5</v>
      </c>
      <c r="D35" s="146">
        <f t="shared" si="5"/>
        <v>6438.375</v>
      </c>
      <c r="E35" s="149">
        <v>29187.3</v>
      </c>
      <c r="F35" s="142">
        <f t="shared" si="6"/>
        <v>3433.7999999999993</v>
      </c>
      <c r="G35">
        <f>450000</f>
        <v>450000</v>
      </c>
    </row>
    <row r="36" spans="1:8" ht="16.2" thickBot="1" x14ac:dyDescent="0.35">
      <c r="A36" s="83" t="s">
        <v>92</v>
      </c>
      <c r="B36" s="84">
        <v>5.9200000000000003E-2</v>
      </c>
      <c r="C36" s="85">
        <f>G28*B36</f>
        <v>26640</v>
      </c>
      <c r="D36" s="146">
        <f t="shared" si="5"/>
        <v>6660</v>
      </c>
      <c r="E36" s="149">
        <v>30192</v>
      </c>
      <c r="F36" s="142">
        <f t="shared" si="6"/>
        <v>3552</v>
      </c>
    </row>
    <row r="37" spans="1:8" ht="16.2" thickBot="1" x14ac:dyDescent="0.35">
      <c r="A37" s="83" t="s">
        <v>38</v>
      </c>
      <c r="B37" s="84">
        <v>6.9459999999999994E-2</v>
      </c>
      <c r="C37" s="85">
        <f>G28*B37</f>
        <v>31256.999999999996</v>
      </c>
      <c r="D37" s="146">
        <f t="shared" si="5"/>
        <v>7814.2499999999991</v>
      </c>
      <c r="E37" s="149">
        <v>35424.6</v>
      </c>
      <c r="F37" s="142">
        <f t="shared" si="6"/>
        <v>4167.6000000000022</v>
      </c>
    </row>
    <row r="38" spans="1:8" x14ac:dyDescent="0.3">
      <c r="A38" s="125"/>
      <c r="B38" s="125"/>
      <c r="C38" s="125"/>
      <c r="D38" s="143"/>
      <c r="E38" s="142"/>
      <c r="F38" s="145"/>
    </row>
    <row r="40" spans="1:8" x14ac:dyDescent="0.3">
      <c r="H40" s="68">
        <f>380+15</f>
        <v>395</v>
      </c>
    </row>
    <row r="41" spans="1:8" x14ac:dyDescent="0.3">
      <c r="C41" s="140"/>
      <c r="D41" s="140"/>
      <c r="E41" s="140"/>
      <c r="F41" s="140"/>
      <c r="G41" s="140"/>
      <c r="H41" s="68">
        <f>395+65</f>
        <v>460</v>
      </c>
    </row>
    <row r="42" spans="1:8" x14ac:dyDescent="0.3">
      <c r="C42" s="140"/>
      <c r="D42" s="140"/>
      <c r="E42" s="140"/>
      <c r="F42" s="140"/>
      <c r="G42" s="140">
        <v>510</v>
      </c>
    </row>
    <row r="43" spans="1:8" x14ac:dyDescent="0.3">
      <c r="C43" s="140"/>
      <c r="D43" s="140"/>
      <c r="E43" s="140"/>
      <c r="F43" s="140"/>
      <c r="G43" s="140"/>
    </row>
    <row r="44" spans="1:8" x14ac:dyDescent="0.3">
      <c r="C44" s="140"/>
      <c r="D44" s="140"/>
      <c r="E44" s="140"/>
      <c r="F44" s="140"/>
      <c r="G44" s="140"/>
    </row>
    <row r="45" spans="1:8" x14ac:dyDescent="0.3">
      <c r="A45" s="68" t="s">
        <v>41</v>
      </c>
      <c r="B45" t="s">
        <v>65</v>
      </c>
      <c r="C45" t="s">
        <v>209</v>
      </c>
      <c r="D45" t="s">
        <v>212</v>
      </c>
      <c r="E45" s="68" t="s">
        <v>203</v>
      </c>
    </row>
    <row r="46" spans="1:8" x14ac:dyDescent="0.3">
      <c r="A46" s="68" t="s">
        <v>33</v>
      </c>
      <c r="B46" s="68">
        <v>5.1139999999999998E-2</v>
      </c>
      <c r="C46" s="116">
        <f>B46*450000</f>
        <v>23013</v>
      </c>
      <c r="D46" s="68">
        <f>E46/12</f>
        <v>0</v>
      </c>
      <c r="E46" s="68">
        <f>H42*B46</f>
        <v>0</v>
      </c>
      <c r="F46" s="68">
        <f>C46*6</f>
        <v>138078</v>
      </c>
    </row>
    <row r="47" spans="1:8" x14ac:dyDescent="0.3">
      <c r="A47" s="68" t="s">
        <v>34</v>
      </c>
      <c r="B47" s="68">
        <v>5.679E-2</v>
      </c>
      <c r="C47" s="116">
        <f>G42*B47</f>
        <v>28.962900000000001</v>
      </c>
      <c r="D47" s="68">
        <f>E47/12</f>
        <v>0</v>
      </c>
      <c r="E47" s="68">
        <f>H42*B47</f>
        <v>0</v>
      </c>
      <c r="F47" s="68">
        <f>C47*6</f>
        <v>173.7774</v>
      </c>
    </row>
    <row r="48" spans="1:8" x14ac:dyDescent="0.3">
      <c r="A48" s="68" t="s">
        <v>35</v>
      </c>
      <c r="B48" s="68">
        <v>5.5509999999999997E-2</v>
      </c>
      <c r="C48" s="116">
        <f>G42*B48</f>
        <v>28.310099999999998</v>
      </c>
      <c r="D48" s="68">
        <f>E48/12</f>
        <v>0</v>
      </c>
      <c r="E48" s="68">
        <f>H42*B48</f>
        <v>0</v>
      </c>
      <c r="F48" s="68">
        <f>C48*3</f>
        <v>84.930299999999988</v>
      </c>
    </row>
    <row r="49" spans="1:6" x14ac:dyDescent="0.3">
      <c r="A49" s="68" t="s">
        <v>36</v>
      </c>
      <c r="B49" s="68">
        <v>5.7230000000000003E-2</v>
      </c>
      <c r="C49" s="116">
        <f>G42*B49</f>
        <v>29.1873</v>
      </c>
      <c r="D49" s="68">
        <f>SUM(E49/12)</f>
        <v>0</v>
      </c>
      <c r="E49" s="68">
        <f>H42*B49</f>
        <v>0</v>
      </c>
      <c r="F49" s="68">
        <f>C49</f>
        <v>29.1873</v>
      </c>
    </row>
    <row r="50" spans="1:6" x14ac:dyDescent="0.3">
      <c r="A50" s="68" t="s">
        <v>92</v>
      </c>
      <c r="B50" s="68">
        <v>5.9200000000000003E-2</v>
      </c>
      <c r="C50" s="116">
        <f>G42*B50</f>
        <v>30.192</v>
      </c>
      <c r="D50" s="68">
        <f>E50/12</f>
        <v>0</v>
      </c>
      <c r="E50" s="68">
        <f>H42*B50</f>
        <v>0</v>
      </c>
      <c r="F50" s="68">
        <f>C50</f>
        <v>30.192</v>
      </c>
    </row>
    <row r="51" spans="1:6" x14ac:dyDescent="0.3">
      <c r="A51" s="68" t="s">
        <v>38</v>
      </c>
      <c r="B51" s="68">
        <v>6.9459999999999994E-2</v>
      </c>
      <c r="C51" s="116">
        <f>G42*B51</f>
        <v>35.424599999999998</v>
      </c>
      <c r="D51" s="68">
        <f>E51/12</f>
        <v>0</v>
      </c>
      <c r="E51" s="68">
        <f>H42*B51</f>
        <v>0</v>
      </c>
      <c r="F51" s="68">
        <f>C51</f>
        <v>35.424599999999998</v>
      </c>
    </row>
    <row r="52" spans="1:6" x14ac:dyDescent="0.3">
      <c r="F52" s="68">
        <f>SUM(F46:F51)</f>
        <v>138431.5116</v>
      </c>
    </row>
    <row r="53" spans="1:6" x14ac:dyDescent="0.3">
      <c r="A53" t="s">
        <v>204</v>
      </c>
    </row>
    <row r="54" spans="1:6" x14ac:dyDescent="0.3">
      <c r="A54" t="s">
        <v>205</v>
      </c>
      <c r="B54">
        <v>415840.44</v>
      </c>
    </row>
    <row r="55" spans="1:6" x14ac:dyDescent="0.3">
      <c r="A55" t="s">
        <v>63</v>
      </c>
      <c r="B55">
        <v>15000</v>
      </c>
    </row>
    <row r="56" spans="1:6" x14ac:dyDescent="0.3">
      <c r="A56" t="s">
        <v>206</v>
      </c>
      <c r="B56">
        <v>4500</v>
      </c>
    </row>
    <row r="57" spans="1:6" x14ac:dyDescent="0.3">
      <c r="A57" t="s">
        <v>207</v>
      </c>
      <c r="B57">
        <v>4000</v>
      </c>
    </row>
    <row r="58" spans="1:6" x14ac:dyDescent="0.3">
      <c r="A58" t="s">
        <v>208</v>
      </c>
      <c r="B58" s="68">
        <v>10659.56</v>
      </c>
    </row>
    <row r="59" spans="1:6" x14ac:dyDescent="0.3">
      <c r="B59" s="68">
        <f>SUM(B54:B58)</f>
        <v>450000</v>
      </c>
    </row>
  </sheetData>
  <mergeCells count="1">
    <mergeCell ref="A1:E1"/>
  </mergeCells>
  <pageMargins left="0.2" right="0.2" top="0.75" bottom="0.4" header="0.3" footer="0.3"/>
  <pageSetup scale="7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7101F-ACED-4B49-B1C9-747F654C5C62}">
  <sheetPr>
    <tabColor rgb="FFFFFF00"/>
  </sheetPr>
  <dimension ref="A2:I24"/>
  <sheetViews>
    <sheetView zoomScale="84" zoomScaleNormal="84" workbookViewId="0">
      <selection activeCell="E7" sqref="E7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4.79687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0" width="29.59765625" style="68" bestFit="1" customWidth="1"/>
    <col min="11" max="11" width="9.19921875" style="68" bestFit="1" customWidth="1"/>
    <col min="12" max="12" width="11.69921875" style="68" customWidth="1"/>
    <col min="13" max="13" width="10.59765625" style="68" customWidth="1"/>
    <col min="14" max="16384" width="8.796875" style="68"/>
  </cols>
  <sheetData>
    <row r="2" spans="1:9" x14ac:dyDescent="0.3">
      <c r="A2" s="159" t="s">
        <v>194</v>
      </c>
      <c r="B2" s="171"/>
      <c r="C2" s="171"/>
      <c r="D2" s="171"/>
      <c r="E2" s="171"/>
      <c r="F2" s="171"/>
      <c r="G2" s="171"/>
      <c r="H2" s="171"/>
      <c r="I2" s="171"/>
    </row>
    <row r="3" spans="1:9" x14ac:dyDescent="0.3">
      <c r="A3" s="172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7" t="s">
        <v>200</v>
      </c>
    </row>
    <row r="4" spans="1:9" x14ac:dyDescent="0.3">
      <c r="A4" s="173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200</v>
      </c>
      <c r="I4" s="173"/>
    </row>
    <row r="5" spans="1:9" ht="28.8" x14ac:dyDescent="0.3">
      <c r="A5" s="69"/>
      <c r="B5" s="69"/>
      <c r="C5" s="69"/>
      <c r="D5" s="69" t="s">
        <v>80</v>
      </c>
      <c r="E5" s="70">
        <v>45291</v>
      </c>
      <c r="F5" s="69" t="s">
        <v>81</v>
      </c>
      <c r="G5" s="69" t="s">
        <v>82</v>
      </c>
      <c r="H5" s="69" t="s">
        <v>83</v>
      </c>
      <c r="I5" s="17" t="s">
        <v>118</v>
      </c>
    </row>
    <row r="6" spans="1:9" x14ac:dyDescent="0.3">
      <c r="A6" s="72" t="s">
        <v>27</v>
      </c>
      <c r="B6" s="73">
        <v>7</v>
      </c>
      <c r="C6" s="74">
        <v>100000</v>
      </c>
      <c r="D6" s="75">
        <v>0.1</v>
      </c>
      <c r="E6" s="76">
        <f>$E$13*D6</f>
        <v>15000</v>
      </c>
      <c r="F6" s="73">
        <v>8</v>
      </c>
      <c r="G6" s="76">
        <f t="shared" ref="G6:G13" si="0">C6-E6</f>
        <v>85000</v>
      </c>
      <c r="H6" s="76">
        <f>G6/F6</f>
        <v>10625</v>
      </c>
      <c r="I6" s="76">
        <f t="shared" ref="I6:I12" si="1">H6*0.5</f>
        <v>5312.5</v>
      </c>
    </row>
    <row r="7" spans="1:9" x14ac:dyDescent="0.3">
      <c r="A7" s="72" t="s">
        <v>26</v>
      </c>
      <c r="B7" s="73">
        <v>20</v>
      </c>
      <c r="C7" s="74">
        <v>100000</v>
      </c>
      <c r="D7" s="75">
        <v>0.4</v>
      </c>
      <c r="E7" s="76">
        <f t="shared" ref="E7:E12" si="2">$E$13*D7</f>
        <v>60000</v>
      </c>
      <c r="F7" s="73">
        <v>10</v>
      </c>
      <c r="G7" s="76">
        <f t="shared" si="0"/>
        <v>40000</v>
      </c>
      <c r="H7" s="76">
        <f t="shared" ref="H7:H12" si="3">G7/F7</f>
        <v>4000</v>
      </c>
      <c r="I7" s="76">
        <f t="shared" si="1"/>
        <v>2000</v>
      </c>
    </row>
    <row r="8" spans="1:9" x14ac:dyDescent="0.3">
      <c r="A8" s="15" t="s">
        <v>185</v>
      </c>
      <c r="B8" s="73">
        <v>10</v>
      </c>
      <c r="C8" s="74">
        <v>300000</v>
      </c>
      <c r="D8" s="75">
        <v>0.25</v>
      </c>
      <c r="E8" s="76">
        <f t="shared" si="2"/>
        <v>37500</v>
      </c>
      <c r="F8" s="73">
        <v>20</v>
      </c>
      <c r="G8" s="76">
        <f t="shared" si="0"/>
        <v>262500</v>
      </c>
      <c r="H8" s="76">
        <f t="shared" si="3"/>
        <v>13125</v>
      </c>
      <c r="I8" s="76">
        <f t="shared" si="1"/>
        <v>6562.5</v>
      </c>
    </row>
    <row r="9" spans="1:9" x14ac:dyDescent="0.3">
      <c r="A9" s="72" t="s">
        <v>85</v>
      </c>
      <c r="B9" s="73">
        <v>15</v>
      </c>
      <c r="C9" s="74">
        <v>60000</v>
      </c>
      <c r="D9" s="75">
        <v>0.05</v>
      </c>
      <c r="E9" s="76">
        <f t="shared" si="2"/>
        <v>7500</v>
      </c>
      <c r="F9" s="73">
        <v>3</v>
      </c>
      <c r="G9" s="76">
        <f t="shared" si="0"/>
        <v>52500</v>
      </c>
      <c r="H9" s="76">
        <f t="shared" si="3"/>
        <v>17500</v>
      </c>
      <c r="I9" s="76">
        <f t="shared" si="1"/>
        <v>8750</v>
      </c>
    </row>
    <row r="10" spans="1:9" x14ac:dyDescent="0.3">
      <c r="A10" s="15" t="s">
        <v>184</v>
      </c>
      <c r="B10" s="73">
        <v>10</v>
      </c>
      <c r="C10" s="74">
        <v>500000</v>
      </c>
      <c r="D10" s="75">
        <v>0.1</v>
      </c>
      <c r="E10" s="76">
        <f t="shared" si="2"/>
        <v>15000</v>
      </c>
      <c r="F10" s="73">
        <v>10</v>
      </c>
      <c r="G10" s="76">
        <f t="shared" si="0"/>
        <v>485000</v>
      </c>
      <c r="H10" s="76">
        <f t="shared" si="3"/>
        <v>48500</v>
      </c>
      <c r="I10" s="76">
        <f t="shared" si="1"/>
        <v>24250</v>
      </c>
    </row>
    <row r="11" spans="1:9" x14ac:dyDescent="0.3">
      <c r="A11" s="72" t="s">
        <v>28</v>
      </c>
      <c r="B11" s="73">
        <v>30</v>
      </c>
      <c r="C11" s="74">
        <v>60000</v>
      </c>
      <c r="D11" s="75">
        <v>0.05</v>
      </c>
      <c r="E11" s="76">
        <f t="shared" si="2"/>
        <v>7500</v>
      </c>
      <c r="F11" s="73">
        <v>24</v>
      </c>
      <c r="G11" s="76">
        <f t="shared" si="0"/>
        <v>52500</v>
      </c>
      <c r="H11" s="76">
        <f t="shared" si="3"/>
        <v>2187.5</v>
      </c>
      <c r="I11" s="76">
        <f t="shared" si="1"/>
        <v>1093.75</v>
      </c>
    </row>
    <row r="12" spans="1:9" x14ac:dyDescent="0.3">
      <c r="A12" s="72" t="s">
        <v>30</v>
      </c>
      <c r="B12" s="73">
        <v>25</v>
      </c>
      <c r="C12" s="74">
        <v>29000</v>
      </c>
      <c r="D12" s="75">
        <v>0.05</v>
      </c>
      <c r="E12" s="76">
        <f t="shared" si="2"/>
        <v>7500</v>
      </c>
      <c r="F12" s="73">
        <v>221</v>
      </c>
      <c r="G12" s="76">
        <f t="shared" si="0"/>
        <v>21500</v>
      </c>
      <c r="H12" s="76">
        <f t="shared" si="3"/>
        <v>97.285067873303163</v>
      </c>
      <c r="I12" s="76">
        <f t="shared" si="1"/>
        <v>48.642533936651581</v>
      </c>
    </row>
    <row r="13" spans="1:9" x14ac:dyDescent="0.3">
      <c r="A13" s="72" t="s">
        <v>86</v>
      </c>
      <c r="B13" s="69"/>
      <c r="C13" s="77">
        <f>SUM(C6:C12)</f>
        <v>1149000</v>
      </c>
      <c r="D13" s="78">
        <f>SUM(D6:D12)</f>
        <v>1</v>
      </c>
      <c r="E13" s="24">
        <v>150000</v>
      </c>
      <c r="F13" s="69"/>
      <c r="G13" s="79">
        <f t="shared" si="0"/>
        <v>999000</v>
      </c>
      <c r="H13" s="79">
        <f>SUM(H6:H12)</f>
        <v>96034.785067873308</v>
      </c>
      <c r="I13" s="79">
        <f>SUM(I6:I12)</f>
        <v>48017.392533936654</v>
      </c>
    </row>
    <row r="14" spans="1:9" x14ac:dyDescent="0.3">
      <c r="I14" s="107">
        <f>I13/12</f>
        <v>4001.4493778280544</v>
      </c>
    </row>
    <row r="15" spans="1:9" ht="69" x14ac:dyDescent="0.3">
      <c r="A15" s="80" t="s">
        <v>41</v>
      </c>
      <c r="B15" s="81" t="s">
        <v>65</v>
      </c>
      <c r="C15" s="130" t="s">
        <v>67</v>
      </c>
      <c r="D15" s="82" t="s">
        <v>87</v>
      </c>
      <c r="E15" s="82" t="s">
        <v>88</v>
      </c>
      <c r="F15" s="112" t="s">
        <v>121</v>
      </c>
      <c r="G15" s="118" t="s">
        <v>119</v>
      </c>
    </row>
    <row r="16" spans="1:9" x14ac:dyDescent="0.3">
      <c r="A16" s="83" t="s">
        <v>33</v>
      </c>
      <c r="B16" s="84">
        <v>5.1139999999999998E-2</v>
      </c>
      <c r="C16" s="106">
        <f>'Budget 2024'!C52</f>
        <v>646.06866666666667</v>
      </c>
      <c r="D16" s="86">
        <f>SUM(H13*B16/12)</f>
        <v>409.26824236425341</v>
      </c>
      <c r="E16" s="85">
        <f t="shared" ref="E16:E21" si="4">SUM(C16+D16)</f>
        <v>1055.3369090309202</v>
      </c>
      <c r="F16" s="86">
        <f>SUM(I13*B16/12)</f>
        <v>204.63412118212671</v>
      </c>
      <c r="G16" s="106">
        <f t="shared" ref="G16:G21" si="5">SUM(C16+F16)</f>
        <v>850.70278784879338</v>
      </c>
    </row>
    <row r="17" spans="1:8" x14ac:dyDescent="0.3">
      <c r="A17" s="83" t="s">
        <v>34</v>
      </c>
      <c r="B17" s="84">
        <v>5.679E-2</v>
      </c>
      <c r="C17" s="106">
        <f>'Budget 2024'!C53</f>
        <v>717.447</v>
      </c>
      <c r="D17" s="86">
        <f>SUM(H13*B17/12)</f>
        <v>454.48462033371044</v>
      </c>
      <c r="E17" s="85">
        <f t="shared" si="4"/>
        <v>1171.9316203337105</v>
      </c>
      <c r="F17" s="86">
        <f>SUM(I13*B17/12)</f>
        <v>227.24231016685522</v>
      </c>
      <c r="G17" s="106">
        <f t="shared" si="5"/>
        <v>944.68931016685519</v>
      </c>
    </row>
    <row r="18" spans="1:8" x14ac:dyDescent="0.3">
      <c r="A18" s="83" t="s">
        <v>35</v>
      </c>
      <c r="B18" s="84">
        <v>5.5509999999999997E-2</v>
      </c>
      <c r="C18" s="106">
        <f>'Budget 2024'!C54</f>
        <v>701.27633333333324</v>
      </c>
      <c r="D18" s="86">
        <f>SUM(H13*B18/12)</f>
        <v>444.24090992647058</v>
      </c>
      <c r="E18" s="85">
        <f t="shared" si="4"/>
        <v>1145.5172432598038</v>
      </c>
      <c r="F18" s="86">
        <f>SUM(I13*B18/12)</f>
        <v>222.12045496323529</v>
      </c>
      <c r="G18" s="106">
        <f t="shared" si="5"/>
        <v>923.3967882965685</v>
      </c>
    </row>
    <row r="19" spans="1:8" x14ac:dyDescent="0.3">
      <c r="A19" s="83" t="s">
        <v>36</v>
      </c>
      <c r="B19" s="84">
        <v>5.7230000000000003E-2</v>
      </c>
      <c r="C19" s="106">
        <f>'Budget 2024'!C55</f>
        <v>723.0056666666668</v>
      </c>
      <c r="D19" s="86">
        <f>SUM(H13*B19/12)</f>
        <v>458.00589578619912</v>
      </c>
      <c r="E19" s="85">
        <f t="shared" si="4"/>
        <v>1181.011562452866</v>
      </c>
      <c r="F19" s="86">
        <f>SUM(I13*B19/12)</f>
        <v>229.00294789309956</v>
      </c>
      <c r="G19" s="106">
        <f t="shared" si="5"/>
        <v>952.00861455976633</v>
      </c>
    </row>
    <row r="20" spans="1:8" x14ac:dyDescent="0.3">
      <c r="A20" s="83" t="s">
        <v>92</v>
      </c>
      <c r="B20" s="84">
        <v>5.9200000000000003E-2</v>
      </c>
      <c r="C20" s="106">
        <f>'Budget 2024'!C56</f>
        <v>747.89333333333343</v>
      </c>
      <c r="D20" s="86">
        <f>SUM(H13*B20/12)</f>
        <v>473.77160633484169</v>
      </c>
      <c r="E20" s="85">
        <f t="shared" si="4"/>
        <v>1221.6649396681751</v>
      </c>
      <c r="F20" s="86">
        <f>SUM(I13*B20/12)</f>
        <v>236.88580316742085</v>
      </c>
      <c r="G20" s="106">
        <f t="shared" si="5"/>
        <v>984.77913650075425</v>
      </c>
    </row>
    <row r="21" spans="1:8" x14ac:dyDescent="0.3">
      <c r="A21" s="83" t="s">
        <v>38</v>
      </c>
      <c r="B21" s="84">
        <v>6.9459999999999994E-2</v>
      </c>
      <c r="C21" s="106">
        <f>'Budget 2024'!C57</f>
        <v>877.51133333333325</v>
      </c>
      <c r="D21" s="86">
        <f>SUM(H13*B21/12)</f>
        <v>555.88134756787326</v>
      </c>
      <c r="E21" s="85">
        <f t="shared" si="4"/>
        <v>1433.3926809012064</v>
      </c>
      <c r="F21" s="86">
        <f>SUM(I13*B21/12)</f>
        <v>277.94067378393663</v>
      </c>
      <c r="G21" s="106">
        <f t="shared" si="5"/>
        <v>1155.4520071172699</v>
      </c>
    </row>
    <row r="22" spans="1:8" ht="16.2" thickBot="1" x14ac:dyDescent="0.35"/>
    <row r="23" spans="1:8" x14ac:dyDescent="0.3">
      <c r="A23" s="174" t="s">
        <v>91</v>
      </c>
      <c r="B23" s="175"/>
      <c r="C23" s="175"/>
      <c r="D23" s="175"/>
      <c r="E23" s="175"/>
      <c r="F23" s="175"/>
      <c r="G23" s="175"/>
      <c r="H23" s="176"/>
    </row>
    <row r="24" spans="1:8" ht="16.2" thickBot="1" x14ac:dyDescent="0.35">
      <c r="A24" s="177"/>
      <c r="B24" s="178"/>
      <c r="C24" s="178"/>
      <c r="D24" s="178"/>
      <c r="E24" s="178"/>
      <c r="F24" s="178"/>
      <c r="G24" s="178"/>
      <c r="H24" s="179"/>
    </row>
  </sheetData>
  <mergeCells count="4">
    <mergeCell ref="A2:I2"/>
    <mergeCell ref="A3:A4"/>
    <mergeCell ref="I3:I4"/>
    <mergeCell ref="A23:H24"/>
  </mergeCells>
  <pageMargins left="0.2" right="0.2" top="0.75" bottom="0.4" header="0.3" footer="0.3"/>
  <pageSetup scale="7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1095-F4EB-41AB-A60F-C2415A201EAD}">
  <sheetPr>
    <tabColor rgb="FFFFFF00"/>
  </sheetPr>
  <dimension ref="A1:K63"/>
  <sheetViews>
    <sheetView view="pageBreakPreview" topLeftCell="A3" zoomScale="60" zoomScaleSheetLayoutView="40" workbookViewId="0">
      <selection activeCell="D10" sqref="D10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9" t="s">
        <v>190</v>
      </c>
      <c r="B1" s="169"/>
      <c r="C1" s="169"/>
      <c r="D1" s="169"/>
    </row>
    <row r="2" spans="1:9" ht="54" customHeight="1" x14ac:dyDescent="0.4">
      <c r="A2" s="170" t="s">
        <v>191</v>
      </c>
      <c r="B2" s="170"/>
      <c r="C2" s="170"/>
      <c r="D2" s="170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169</v>
      </c>
    </row>
    <row r="4" spans="1:9" ht="25.5" customHeight="1" x14ac:dyDescent="0.55000000000000004">
      <c r="A4" s="87"/>
      <c r="B4" s="89" t="s">
        <v>181</v>
      </c>
      <c r="C4" s="88" t="s">
        <v>192</v>
      </c>
      <c r="D4" s="89" t="s">
        <v>193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108">
        <v>126000</v>
      </c>
      <c r="C6" s="91">
        <v>117000</v>
      </c>
      <c r="D6" s="108">
        <f>D46</f>
        <v>151600</v>
      </c>
      <c r="I6" s="36"/>
    </row>
    <row r="7" spans="1:9" ht="25.5" customHeight="1" x14ac:dyDescent="0.55000000000000004">
      <c r="A7" s="87" t="s">
        <v>132</v>
      </c>
      <c r="B7" s="108">
        <v>0</v>
      </c>
      <c r="C7" s="91">
        <f>C42</f>
        <v>53760</v>
      </c>
      <c r="D7" s="108">
        <v>53751.360000000001</v>
      </c>
      <c r="E7" s="58"/>
      <c r="I7" s="36"/>
    </row>
    <row r="8" spans="1:9" ht="25.5" customHeight="1" x14ac:dyDescent="0.55000000000000004">
      <c r="A8" s="87" t="s">
        <v>58</v>
      </c>
      <c r="B8" s="108">
        <v>100</v>
      </c>
      <c r="C8" s="91">
        <v>250</v>
      </c>
      <c r="D8" s="108">
        <v>200</v>
      </c>
      <c r="I8" s="36"/>
    </row>
    <row r="9" spans="1:9" ht="25.5" customHeight="1" x14ac:dyDescent="0.55000000000000004">
      <c r="A9" s="87" t="s">
        <v>199</v>
      </c>
      <c r="B9" s="108">
        <v>0</v>
      </c>
      <c r="C9" s="91">
        <v>250000</v>
      </c>
      <c r="D9" s="108"/>
      <c r="I9" s="36"/>
    </row>
    <row r="10" spans="1:9" ht="25.5" customHeight="1" x14ac:dyDescent="0.55000000000000004">
      <c r="A10" s="87" t="s">
        <v>59</v>
      </c>
      <c r="B10" s="109">
        <v>11</v>
      </c>
      <c r="C10" s="92">
        <v>1600</v>
      </c>
      <c r="D10" s="109">
        <v>1600</v>
      </c>
      <c r="I10" s="36"/>
    </row>
    <row r="11" spans="1:9" ht="25.5" customHeight="1" x14ac:dyDescent="0.5">
      <c r="A11" s="90" t="s">
        <v>60</v>
      </c>
      <c r="B11" s="110">
        <f>SUM(B6:B10)</f>
        <v>126111</v>
      </c>
      <c r="C11" s="88">
        <f>SUM(C6:C10)</f>
        <v>422610</v>
      </c>
      <c r="D11" s="110">
        <f>SUM(D6:D10)</f>
        <v>207151.35999999999</v>
      </c>
      <c r="I11" s="36"/>
    </row>
    <row r="12" spans="1:9" ht="25.5" customHeight="1" x14ac:dyDescent="0.55000000000000004">
      <c r="A12" s="93" t="s">
        <v>102</v>
      </c>
      <c r="B12" s="91"/>
      <c r="C12" s="91"/>
      <c r="D12" s="91"/>
      <c r="I12" s="36"/>
    </row>
    <row r="13" spans="1:9" ht="25.5" customHeight="1" x14ac:dyDescent="0.55000000000000004">
      <c r="A13" s="93" t="s">
        <v>103</v>
      </c>
      <c r="B13" s="91"/>
      <c r="C13" s="91"/>
      <c r="D13" s="91"/>
      <c r="I13" s="36"/>
    </row>
    <row r="14" spans="1:9" ht="25.5" customHeight="1" x14ac:dyDescent="0.55000000000000004">
      <c r="A14" s="87" t="s">
        <v>1</v>
      </c>
      <c r="B14" s="91">
        <v>450</v>
      </c>
      <c r="C14" s="91">
        <v>500</v>
      </c>
      <c r="D14" s="91">
        <v>450</v>
      </c>
      <c r="I14" s="36"/>
    </row>
    <row r="15" spans="1:9" ht="25.5" customHeight="1" x14ac:dyDescent="0.55000000000000004">
      <c r="A15" s="87" t="s">
        <v>2</v>
      </c>
      <c r="B15" s="91">
        <v>150</v>
      </c>
      <c r="C15" s="91">
        <v>200</v>
      </c>
      <c r="D15" s="91">
        <v>150</v>
      </c>
      <c r="I15" s="36"/>
    </row>
    <row r="16" spans="1:9" ht="25.5" customHeight="1" x14ac:dyDescent="0.55000000000000004">
      <c r="A16" s="87" t="s">
        <v>21</v>
      </c>
      <c r="B16" s="91">
        <v>3600</v>
      </c>
      <c r="C16" s="91">
        <v>3000</v>
      </c>
      <c r="D16" s="91">
        <v>3600</v>
      </c>
      <c r="I16" s="36"/>
    </row>
    <row r="17" spans="1:9" ht="25.5" customHeight="1" x14ac:dyDescent="0.55000000000000004">
      <c r="A17" s="87" t="s">
        <v>195</v>
      </c>
      <c r="B17" s="91">
        <v>0</v>
      </c>
      <c r="C17" s="91">
        <v>250</v>
      </c>
      <c r="D17" s="91">
        <v>100</v>
      </c>
      <c r="I17" s="36"/>
    </row>
    <row r="18" spans="1:9" ht="25.5" customHeight="1" x14ac:dyDescent="0.55000000000000004">
      <c r="A18" s="87" t="s">
        <v>17</v>
      </c>
      <c r="B18" s="91">
        <v>1000</v>
      </c>
      <c r="C18" s="91">
        <v>900</v>
      </c>
      <c r="D18" s="91">
        <v>1000</v>
      </c>
      <c r="I18" s="36"/>
    </row>
    <row r="19" spans="1:9" ht="25.5" customHeight="1" x14ac:dyDescent="0.55000000000000004">
      <c r="A19" s="87" t="s">
        <v>64</v>
      </c>
      <c r="B19" s="92">
        <v>500</v>
      </c>
      <c r="C19" s="92">
        <v>10000</v>
      </c>
      <c r="D19" s="92">
        <v>3000</v>
      </c>
      <c r="I19" s="36"/>
    </row>
    <row r="20" spans="1:9" ht="25.5" customHeight="1" x14ac:dyDescent="0.5">
      <c r="A20" s="93" t="s">
        <v>109</v>
      </c>
      <c r="B20" s="88">
        <f>SUM(B14:B19)</f>
        <v>5700</v>
      </c>
      <c r="C20" s="88">
        <f>SUM(C14:C19)</f>
        <v>14850</v>
      </c>
      <c r="D20" s="88">
        <f>SUM(D14:D19)</f>
        <v>8300</v>
      </c>
      <c r="I20" s="36"/>
    </row>
    <row r="21" spans="1:9" ht="25.5" customHeight="1" x14ac:dyDescent="0.55000000000000004">
      <c r="A21" s="93" t="s">
        <v>104</v>
      </c>
      <c r="B21" s="91"/>
      <c r="C21" s="91"/>
      <c r="D21" s="91"/>
      <c r="I21" s="36"/>
    </row>
    <row r="22" spans="1:9" ht="25.5" customHeight="1" x14ac:dyDescent="0.55000000000000004">
      <c r="A22" s="87" t="s">
        <v>3</v>
      </c>
      <c r="B22" s="91">
        <v>9000</v>
      </c>
      <c r="C22" s="91">
        <v>7500</v>
      </c>
      <c r="D22" s="91">
        <v>7500</v>
      </c>
      <c r="I22" s="36"/>
    </row>
    <row r="23" spans="1:9" ht="25.5" customHeight="1" x14ac:dyDescent="0.55000000000000004">
      <c r="A23" s="87" t="s">
        <v>8</v>
      </c>
      <c r="B23" s="91">
        <v>9000</v>
      </c>
      <c r="C23" s="91">
        <f>834*12</f>
        <v>10008</v>
      </c>
      <c r="D23" s="91">
        <v>10500</v>
      </c>
      <c r="I23" s="36"/>
    </row>
    <row r="24" spans="1:9" ht="25.5" customHeight="1" x14ac:dyDescent="0.55000000000000004">
      <c r="A24" s="87" t="s">
        <v>138</v>
      </c>
      <c r="B24" s="91">
        <v>1200</v>
      </c>
      <c r="C24" s="91">
        <v>0</v>
      </c>
      <c r="D24" s="91">
        <v>1200</v>
      </c>
      <c r="I24" s="36"/>
    </row>
    <row r="25" spans="1:9" ht="25.5" customHeight="1" x14ac:dyDescent="0.55000000000000004">
      <c r="A25" s="87" t="s">
        <v>139</v>
      </c>
      <c r="B25" s="91">
        <v>800</v>
      </c>
      <c r="C25" s="91">
        <v>100</v>
      </c>
      <c r="D25" s="91">
        <v>500</v>
      </c>
      <c r="I25" s="36"/>
    </row>
    <row r="26" spans="1:9" ht="25.5" customHeight="1" x14ac:dyDescent="0.55000000000000004">
      <c r="A26" s="87" t="s">
        <v>66</v>
      </c>
      <c r="B26" s="91">
        <v>1500</v>
      </c>
      <c r="C26" s="91">
        <v>14000</v>
      </c>
      <c r="D26" s="91">
        <v>2500</v>
      </c>
      <c r="I26" s="36"/>
    </row>
    <row r="27" spans="1:9" ht="25.5" customHeight="1" x14ac:dyDescent="0.55000000000000004">
      <c r="A27" s="87" t="s">
        <v>4</v>
      </c>
      <c r="B27" s="91">
        <v>6000</v>
      </c>
      <c r="C27" s="91">
        <v>10500</v>
      </c>
      <c r="D27" s="91">
        <v>6000</v>
      </c>
      <c r="I27" s="36"/>
    </row>
    <row r="28" spans="1:9" ht="25.5" customHeight="1" x14ac:dyDescent="0.55000000000000004">
      <c r="A28" s="87" t="s">
        <v>5</v>
      </c>
      <c r="B28" s="91">
        <v>4500</v>
      </c>
      <c r="C28" s="91">
        <v>10000</v>
      </c>
      <c r="D28" s="91">
        <v>6000</v>
      </c>
      <c r="I28" s="36"/>
    </row>
    <row r="29" spans="1:9" ht="25.5" customHeight="1" x14ac:dyDescent="0.55000000000000004">
      <c r="A29" s="87" t="s">
        <v>105</v>
      </c>
      <c r="B29" s="92">
        <v>1200</v>
      </c>
      <c r="C29" s="92">
        <v>0</v>
      </c>
      <c r="D29" s="92">
        <v>1200</v>
      </c>
      <c r="I29" s="36"/>
    </row>
    <row r="30" spans="1:9" ht="25.5" customHeight="1" x14ac:dyDescent="0.5">
      <c r="A30" s="93" t="s">
        <v>110</v>
      </c>
      <c r="B30" s="88">
        <f>SUM(B22:B29)</f>
        <v>33200</v>
      </c>
      <c r="C30" s="88">
        <f>SUM(C22:C29)</f>
        <v>52108</v>
      </c>
      <c r="D30" s="88">
        <f>SUM(D22:D29)</f>
        <v>35400</v>
      </c>
      <c r="I30" s="36"/>
    </row>
    <row r="31" spans="1:9" ht="25.5" customHeight="1" x14ac:dyDescent="0.55000000000000004">
      <c r="A31" s="93" t="s">
        <v>106</v>
      </c>
      <c r="B31" s="91"/>
      <c r="C31" s="91"/>
      <c r="D31" s="91"/>
      <c r="I31" s="36"/>
    </row>
    <row r="32" spans="1:9" ht="25.5" customHeight="1" x14ac:dyDescent="0.55000000000000004">
      <c r="A32" s="87" t="s">
        <v>6</v>
      </c>
      <c r="B32" s="91">
        <v>12000</v>
      </c>
      <c r="C32" s="91">
        <v>13000</v>
      </c>
      <c r="D32" s="91">
        <v>13000</v>
      </c>
      <c r="I32" s="36"/>
    </row>
    <row r="33" spans="1:9" ht="25.5" customHeight="1" x14ac:dyDescent="0.55000000000000004">
      <c r="A33" s="87" t="s">
        <v>114</v>
      </c>
      <c r="B33" s="91">
        <v>100</v>
      </c>
      <c r="C33" s="91">
        <v>0</v>
      </c>
      <c r="D33" s="91">
        <v>0</v>
      </c>
      <c r="I33" s="36"/>
    </row>
    <row r="34" spans="1:9" ht="25.5" customHeight="1" x14ac:dyDescent="0.55000000000000004">
      <c r="A34" s="87" t="s">
        <v>61</v>
      </c>
      <c r="B34" s="91">
        <v>800</v>
      </c>
      <c r="C34" s="91">
        <v>1000</v>
      </c>
      <c r="D34" s="91">
        <v>800</v>
      </c>
      <c r="I34" s="36"/>
    </row>
    <row r="35" spans="1:9" ht="25.5" customHeight="1" x14ac:dyDescent="0.55000000000000004">
      <c r="A35" s="87" t="s">
        <v>15</v>
      </c>
      <c r="B35" s="91">
        <v>2800</v>
      </c>
      <c r="C35" s="91">
        <v>3500</v>
      </c>
      <c r="D35" s="91">
        <v>3500</v>
      </c>
      <c r="I35" s="36"/>
    </row>
    <row r="36" spans="1:9" ht="25.5" customHeight="1" x14ac:dyDescent="0.5">
      <c r="A36" s="93" t="s">
        <v>111</v>
      </c>
      <c r="B36" s="88">
        <f>SUM(B32:B35)</f>
        <v>15700</v>
      </c>
      <c r="C36" s="88">
        <f>SUM(C32:C35)</f>
        <v>17500</v>
      </c>
      <c r="D36" s="88">
        <f>SUM(D32:D35)</f>
        <v>17300</v>
      </c>
      <c r="I36" s="36"/>
    </row>
    <row r="37" spans="1:9" ht="25.5" customHeight="1" x14ac:dyDescent="0.55000000000000004">
      <c r="A37" s="93" t="s">
        <v>107</v>
      </c>
      <c r="B37" s="91"/>
      <c r="C37" s="91"/>
      <c r="D37" s="91"/>
      <c r="I37" s="36"/>
    </row>
    <row r="38" spans="1:9" ht="25.5" customHeight="1" x14ac:dyDescent="0.55000000000000004">
      <c r="A38" s="87" t="s">
        <v>12</v>
      </c>
      <c r="B38" s="91">
        <v>8800</v>
      </c>
      <c r="C38" s="91">
        <v>8500</v>
      </c>
      <c r="D38" s="91">
        <v>8800</v>
      </c>
      <c r="I38" s="36"/>
    </row>
    <row r="39" spans="1:9" ht="25.5" customHeight="1" x14ac:dyDescent="0.55000000000000004">
      <c r="A39" s="87" t="s">
        <v>13</v>
      </c>
      <c r="B39" s="91">
        <v>5100</v>
      </c>
      <c r="C39" s="91">
        <v>7400</v>
      </c>
      <c r="D39" s="91">
        <v>7800</v>
      </c>
      <c r="E39" s="36">
        <f>2208*12</f>
        <v>26496</v>
      </c>
      <c r="I39" s="36"/>
    </row>
    <row r="40" spans="1:9" ht="25.5" customHeight="1" x14ac:dyDescent="0.55000000000000004">
      <c r="A40" s="87" t="s">
        <v>14</v>
      </c>
      <c r="B40" s="92">
        <v>3500</v>
      </c>
      <c r="C40" s="92">
        <v>4000</v>
      </c>
      <c r="D40" s="92">
        <v>4000</v>
      </c>
      <c r="I40" s="36"/>
    </row>
    <row r="41" spans="1:9" ht="25.5" customHeight="1" x14ac:dyDescent="0.5">
      <c r="A41" s="93" t="s">
        <v>112</v>
      </c>
      <c r="B41" s="88">
        <f>SUM(B38:B40)</f>
        <v>17400</v>
      </c>
      <c r="C41" s="88">
        <f>SUM(C38:C40)</f>
        <v>19900</v>
      </c>
      <c r="D41" s="88">
        <f>SUM(D38:D40)</f>
        <v>20600</v>
      </c>
      <c r="I41" s="36"/>
    </row>
    <row r="42" spans="1:9" ht="25.5" customHeight="1" x14ac:dyDescent="0.5">
      <c r="A42" s="93" t="s">
        <v>146</v>
      </c>
      <c r="B42" s="88"/>
      <c r="C42" s="88">
        <f>4480*12</f>
        <v>53760</v>
      </c>
      <c r="D42" s="88"/>
      <c r="I42" s="36"/>
    </row>
    <row r="43" spans="1:9" ht="25.5" customHeight="1" x14ac:dyDescent="0.55000000000000004">
      <c r="A43" s="93" t="s">
        <v>108</v>
      </c>
      <c r="B43" s="91"/>
      <c r="C43" s="91"/>
      <c r="D43" s="91"/>
      <c r="I43" s="36"/>
    </row>
    <row r="44" spans="1:9" ht="25.5" customHeight="1" x14ac:dyDescent="0.55000000000000004">
      <c r="A44" s="87" t="s">
        <v>115</v>
      </c>
      <c r="B44" s="91">
        <v>45000</v>
      </c>
      <c r="C44" s="91">
        <v>63000</v>
      </c>
      <c r="D44" s="91">
        <v>70000</v>
      </c>
      <c r="I44" s="36"/>
    </row>
    <row r="45" spans="1:9" ht="25.5" customHeight="1" thickBot="1" x14ac:dyDescent="0.55000000000000004">
      <c r="A45" s="93" t="s">
        <v>113</v>
      </c>
      <c r="B45" s="111">
        <f>SUM(B44)</f>
        <v>45000</v>
      </c>
      <c r="C45" s="111">
        <f>SUM(C44:C44)</f>
        <v>63000</v>
      </c>
      <c r="D45" s="111">
        <f>SUM(D44)</f>
        <v>70000</v>
      </c>
      <c r="I45" s="36"/>
    </row>
    <row r="46" spans="1:9" ht="25.5" customHeight="1" x14ac:dyDescent="0.5">
      <c r="A46" s="93" t="s">
        <v>23</v>
      </c>
      <c r="B46" s="88">
        <f>SUM(B44+B42+B41+B36+B30+B20)</f>
        <v>117000</v>
      </c>
      <c r="C46" s="88">
        <f>SUM(C45+C41+C36+C30+C20+C42)</f>
        <v>221118</v>
      </c>
      <c r="D46" s="88">
        <f>SUM(D44+D42+D41+D36+D30+D20)</f>
        <v>151600</v>
      </c>
      <c r="I46" s="36"/>
    </row>
    <row r="47" spans="1:9" ht="25.5" customHeight="1" x14ac:dyDescent="0.5">
      <c r="A47" s="93"/>
      <c r="B47" s="88"/>
      <c r="C47" s="88"/>
      <c r="D47" s="88"/>
      <c r="I47" s="36"/>
    </row>
    <row r="48" spans="1:9" ht="25.5" customHeight="1" x14ac:dyDescent="0.55000000000000004">
      <c r="A48" s="87" t="s">
        <v>196</v>
      </c>
      <c r="B48" s="91">
        <v>0</v>
      </c>
      <c r="C48" s="91">
        <v>302000</v>
      </c>
      <c r="D48" s="88"/>
      <c r="I48" s="36"/>
    </row>
    <row r="49" spans="1:11" ht="25.5" customHeight="1" thickBot="1" x14ac:dyDescent="0.6">
      <c r="A49" s="87" t="s">
        <v>197</v>
      </c>
      <c r="B49" s="135">
        <v>0</v>
      </c>
      <c r="C49" s="135">
        <v>13600</v>
      </c>
      <c r="D49" s="88"/>
      <c r="I49" s="36"/>
    </row>
    <row r="50" spans="1:11" ht="31.2" thickBot="1" x14ac:dyDescent="0.6">
      <c r="A50" s="90" t="s">
        <v>198</v>
      </c>
      <c r="B50" s="88">
        <v>0</v>
      </c>
      <c r="C50" s="88">
        <f>C48+C49</f>
        <v>315600</v>
      </c>
      <c r="D50" s="91"/>
    </row>
    <row r="51" spans="1:11" s="48" customFormat="1" ht="30" x14ac:dyDescent="0.5">
      <c r="A51" s="94" t="s">
        <v>41</v>
      </c>
      <c r="B51" s="95" t="s">
        <v>65</v>
      </c>
      <c r="C51" s="136" t="s">
        <v>131</v>
      </c>
      <c r="D51" s="97"/>
      <c r="G51" s="49"/>
      <c r="H51" s="50"/>
      <c r="I51" s="49"/>
      <c r="J51" s="49"/>
      <c r="K51" s="49"/>
    </row>
    <row r="52" spans="1:11" s="48" customFormat="1" ht="36" customHeight="1" x14ac:dyDescent="0.55000000000000004">
      <c r="A52" s="98" t="s">
        <v>33</v>
      </c>
      <c r="B52" s="99">
        <v>5.1139999999999998E-2</v>
      </c>
      <c r="C52" s="137">
        <f>D46*B52/12</f>
        <v>646.06866666666667</v>
      </c>
      <c r="D52" s="113">
        <f>C52*6*12</f>
        <v>46516.944000000003</v>
      </c>
      <c r="E52" s="57"/>
      <c r="F52" s="57"/>
      <c r="G52" s="47"/>
      <c r="H52" s="50">
        <f>SUM(C52*6*12)</f>
        <v>46516.944000000003</v>
      </c>
      <c r="I52" s="47"/>
      <c r="J52" s="47"/>
      <c r="K52" s="47"/>
    </row>
    <row r="53" spans="1:11" s="48" customFormat="1" ht="36" customHeight="1" x14ac:dyDescent="0.55000000000000004">
      <c r="A53" s="98" t="s">
        <v>34</v>
      </c>
      <c r="B53" s="99">
        <v>5.679E-2</v>
      </c>
      <c r="C53" s="137">
        <f>D46*B53/12</f>
        <v>717.447</v>
      </c>
      <c r="D53" s="113">
        <f>C53*6*12</f>
        <v>51656.183999999994</v>
      </c>
      <c r="E53" s="57"/>
      <c r="F53" s="57"/>
      <c r="G53" s="47"/>
      <c r="H53" s="50">
        <f>SUM(C53*6*12)</f>
        <v>51656.183999999994</v>
      </c>
      <c r="I53" s="47"/>
      <c r="J53" s="47"/>
      <c r="K53" s="47"/>
    </row>
    <row r="54" spans="1:11" s="48" customFormat="1" ht="36" customHeight="1" x14ac:dyDescent="0.55000000000000004">
      <c r="A54" s="98" t="s">
        <v>35</v>
      </c>
      <c r="B54" s="99">
        <v>5.5509999999999997E-2</v>
      </c>
      <c r="C54" s="137">
        <f>D46*B54/12</f>
        <v>701.27633333333324</v>
      </c>
      <c r="D54" s="113">
        <f>C54*3*12</f>
        <v>25245.947999999997</v>
      </c>
      <c r="E54" s="57"/>
      <c r="F54" s="57"/>
      <c r="G54" s="47"/>
      <c r="H54" s="50">
        <f>SUM(C54*3*12)</f>
        <v>25245.947999999997</v>
      </c>
      <c r="I54" s="47"/>
      <c r="J54" s="47"/>
      <c r="K54" s="47"/>
    </row>
    <row r="55" spans="1:11" s="48" customFormat="1" ht="36" customHeight="1" x14ac:dyDescent="0.55000000000000004">
      <c r="A55" s="101" t="s">
        <v>36</v>
      </c>
      <c r="B55" s="99">
        <v>5.7230000000000003E-2</v>
      </c>
      <c r="C55" s="137">
        <f>D46*B55/12</f>
        <v>723.0056666666668</v>
      </c>
      <c r="D55" s="113">
        <f>C55*12</f>
        <v>8676.0680000000011</v>
      </c>
      <c r="E55" s="57"/>
      <c r="F55" s="57"/>
      <c r="G55" s="47"/>
      <c r="H55" s="50">
        <f>SUM(C55*1*12)</f>
        <v>8676.0680000000011</v>
      </c>
      <c r="I55" s="47"/>
      <c r="J55" s="47"/>
      <c r="K55" s="47"/>
    </row>
    <row r="56" spans="1:11" s="48" customFormat="1" ht="36" customHeight="1" x14ac:dyDescent="0.55000000000000004">
      <c r="A56" s="101" t="s">
        <v>92</v>
      </c>
      <c r="B56" s="99">
        <v>5.9200000000000003E-2</v>
      </c>
      <c r="C56" s="137">
        <f>D46*B56/12</f>
        <v>747.89333333333343</v>
      </c>
      <c r="D56" s="113">
        <f>C56*12</f>
        <v>8974.7200000000012</v>
      </c>
      <c r="E56" s="57"/>
      <c r="F56" s="57"/>
      <c r="G56" s="47"/>
      <c r="H56" s="50">
        <f>SUM(C56*12)</f>
        <v>8974.7200000000012</v>
      </c>
      <c r="I56" s="47"/>
      <c r="J56" s="47"/>
      <c r="K56" s="47"/>
    </row>
    <row r="57" spans="1:11" s="48" customFormat="1" ht="36" customHeight="1" thickBot="1" x14ac:dyDescent="0.6">
      <c r="A57" s="102" t="s">
        <v>38</v>
      </c>
      <c r="B57" s="103">
        <v>6.9459999999999994E-2</v>
      </c>
      <c r="C57" s="138">
        <f>D46*B57/12</f>
        <v>877.51133333333325</v>
      </c>
      <c r="D57" s="113">
        <f>C57*12</f>
        <v>10530.135999999999</v>
      </c>
      <c r="E57" s="57"/>
      <c r="F57" s="57"/>
      <c r="G57" s="47"/>
      <c r="H57" s="50">
        <f>SUM(C57*12)</f>
        <v>10530.135999999999</v>
      </c>
      <c r="I57" s="47"/>
      <c r="J57" s="47"/>
      <c r="K57" s="47"/>
    </row>
    <row r="58" spans="1:11" x14ac:dyDescent="0.4">
      <c r="B58" s="37"/>
      <c r="D58" s="114">
        <f>SUM(D52:D57)</f>
        <v>151600</v>
      </c>
      <c r="F58" s="58"/>
      <c r="H58" s="41">
        <f>SUM(H52:H57)</f>
        <v>151600</v>
      </c>
    </row>
    <row r="59" spans="1:11" x14ac:dyDescent="0.4">
      <c r="I59" s="41"/>
    </row>
    <row r="63" spans="1:11" x14ac:dyDescent="0.4">
      <c r="I63" s="41"/>
    </row>
  </sheetData>
  <mergeCells count="2">
    <mergeCell ref="A1:D1"/>
    <mergeCell ref="A2:D2"/>
  </mergeCells>
  <pageMargins left="0.25" right="0.25" top="0.75" bottom="0.75" header="0.3" footer="0.3"/>
  <pageSetup scale="3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4E692-EED5-4DE4-852C-2E80AE791600}">
  <sheetPr>
    <tabColor rgb="FFFFFF00"/>
  </sheetPr>
  <dimension ref="A1:K68"/>
  <sheetViews>
    <sheetView tabSelected="1" view="pageBreakPreview" zoomScale="60" zoomScaleSheetLayoutView="40" workbookViewId="0">
      <selection activeCell="C7" sqref="C7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9" t="s">
        <v>216</v>
      </c>
      <c r="B1" s="169"/>
      <c r="C1" s="169"/>
      <c r="D1" s="169"/>
    </row>
    <row r="2" spans="1:9" ht="54" customHeight="1" x14ac:dyDescent="0.4">
      <c r="A2" s="170" t="s">
        <v>217</v>
      </c>
      <c r="B2" s="170"/>
      <c r="C2" s="170"/>
      <c r="D2" s="170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55</v>
      </c>
    </row>
    <row r="4" spans="1:9" ht="25.5" customHeight="1" x14ac:dyDescent="0.55000000000000004">
      <c r="A4" s="87"/>
      <c r="B4" s="89" t="s">
        <v>193</v>
      </c>
      <c r="C4" s="88" t="s">
        <v>214</v>
      </c>
      <c r="D4" s="89" t="s">
        <v>215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108">
        <v>117000</v>
      </c>
      <c r="C6" s="91">
        <v>117000</v>
      </c>
      <c r="D6" s="108">
        <f>D49</f>
        <v>151700</v>
      </c>
      <c r="I6" s="36"/>
    </row>
    <row r="7" spans="1:9" ht="25.5" customHeight="1" x14ac:dyDescent="0.55000000000000004">
      <c r="A7" s="87" t="s">
        <v>132</v>
      </c>
      <c r="B7" s="108">
        <v>53760</v>
      </c>
      <c r="C7" s="91">
        <f>C45</f>
        <v>53760</v>
      </c>
      <c r="D7" s="108">
        <v>0</v>
      </c>
      <c r="E7" s="58"/>
      <c r="I7" s="36"/>
    </row>
    <row r="8" spans="1:9" ht="25.5" customHeight="1" x14ac:dyDescent="0.55000000000000004">
      <c r="A8" s="87" t="s">
        <v>58</v>
      </c>
      <c r="B8" s="108">
        <v>200</v>
      </c>
      <c r="C8" s="91">
        <v>250</v>
      </c>
      <c r="D8" s="108">
        <v>200</v>
      </c>
      <c r="I8" s="36"/>
    </row>
    <row r="9" spans="1:9" ht="25.5" customHeight="1" x14ac:dyDescent="0.55000000000000004">
      <c r="A9" s="87" t="s">
        <v>199</v>
      </c>
      <c r="B9" s="108"/>
      <c r="C9" s="91">
        <v>370000</v>
      </c>
      <c r="D9" s="108">
        <v>250000</v>
      </c>
      <c r="I9" s="36"/>
    </row>
    <row r="10" spans="1:9" ht="25.5" customHeight="1" x14ac:dyDescent="0.55000000000000004">
      <c r="A10" s="87" t="s">
        <v>59</v>
      </c>
      <c r="B10" s="109">
        <v>1600</v>
      </c>
      <c r="C10" s="92">
        <v>7000</v>
      </c>
      <c r="D10" s="109">
        <v>1600</v>
      </c>
      <c r="I10" s="36"/>
    </row>
    <row r="11" spans="1:9" ht="25.5" customHeight="1" x14ac:dyDescent="0.5">
      <c r="A11" s="90" t="s">
        <v>60</v>
      </c>
      <c r="B11" s="110">
        <f>SUM(B6:B10)</f>
        <v>172560</v>
      </c>
      <c r="C11" s="88">
        <f>SUM(C6:C10)</f>
        <v>548010</v>
      </c>
      <c r="D11" s="110">
        <f>SUM(D6:D10)</f>
        <v>403500</v>
      </c>
      <c r="I11" s="36"/>
    </row>
    <row r="12" spans="1:9" ht="25.5" customHeight="1" x14ac:dyDescent="0.55000000000000004">
      <c r="A12" s="93" t="s">
        <v>102</v>
      </c>
      <c r="B12" s="91"/>
      <c r="C12" s="91"/>
      <c r="D12" s="91"/>
      <c r="I12" s="36"/>
    </row>
    <row r="13" spans="1:9" ht="25.5" customHeight="1" x14ac:dyDescent="0.55000000000000004">
      <c r="A13" s="93" t="s">
        <v>103</v>
      </c>
      <c r="B13" s="91"/>
      <c r="C13" s="91"/>
      <c r="D13" s="91"/>
      <c r="I13" s="36"/>
    </row>
    <row r="14" spans="1:9" ht="25.5" customHeight="1" x14ac:dyDescent="0.55000000000000004">
      <c r="A14" s="87" t="s">
        <v>1</v>
      </c>
      <c r="B14" s="91">
        <v>450</v>
      </c>
      <c r="C14" s="91">
        <v>600</v>
      </c>
      <c r="D14" s="91">
        <v>600</v>
      </c>
      <c r="I14" s="36"/>
    </row>
    <row r="15" spans="1:9" ht="25.5" customHeight="1" x14ac:dyDescent="0.55000000000000004">
      <c r="A15" s="87" t="s">
        <v>2</v>
      </c>
      <c r="B15" s="91">
        <v>150</v>
      </c>
      <c r="C15" s="91">
        <v>400</v>
      </c>
      <c r="D15" s="91">
        <v>400</v>
      </c>
      <c r="I15" s="36"/>
    </row>
    <row r="16" spans="1:9" ht="25.5" customHeight="1" x14ac:dyDescent="0.55000000000000004">
      <c r="A16" s="87" t="s">
        <v>21</v>
      </c>
      <c r="B16" s="91">
        <v>3600</v>
      </c>
      <c r="C16" s="91">
        <v>3000</v>
      </c>
      <c r="D16" s="91">
        <f>350*12</f>
        <v>4200</v>
      </c>
      <c r="I16" s="36"/>
    </row>
    <row r="17" spans="1:9" ht="25.5" customHeight="1" x14ac:dyDescent="0.55000000000000004">
      <c r="A17" s="87" t="s">
        <v>195</v>
      </c>
      <c r="B17" s="91">
        <v>100</v>
      </c>
      <c r="C17" s="91">
        <v>600</v>
      </c>
      <c r="D17" s="91">
        <v>200</v>
      </c>
      <c r="I17" s="36"/>
    </row>
    <row r="18" spans="1:9" ht="25.5" customHeight="1" x14ac:dyDescent="0.55000000000000004">
      <c r="A18" s="87" t="s">
        <v>219</v>
      </c>
      <c r="B18" s="91">
        <v>400</v>
      </c>
      <c r="C18" s="91">
        <v>6000</v>
      </c>
      <c r="D18" s="91">
        <v>2500</v>
      </c>
      <c r="I18" s="36"/>
    </row>
    <row r="19" spans="1:9" ht="25.5" customHeight="1" x14ac:dyDescent="0.55000000000000004">
      <c r="A19" s="87" t="s">
        <v>222</v>
      </c>
      <c r="B19" s="91">
        <v>0</v>
      </c>
      <c r="C19" s="91">
        <v>0</v>
      </c>
      <c r="D19" s="91">
        <v>400</v>
      </c>
      <c r="I19" s="36"/>
    </row>
    <row r="20" spans="1:9" ht="25.5" customHeight="1" x14ac:dyDescent="0.55000000000000004">
      <c r="A20" s="87" t="s">
        <v>17</v>
      </c>
      <c r="B20" s="91">
        <v>1000</v>
      </c>
      <c r="C20" s="91">
        <v>500</v>
      </c>
      <c r="D20" s="91">
        <v>600</v>
      </c>
      <c r="I20" s="36"/>
    </row>
    <row r="21" spans="1:9" ht="25.5" customHeight="1" x14ac:dyDescent="0.55000000000000004">
      <c r="A21" s="87" t="s">
        <v>64</v>
      </c>
      <c r="B21" s="92">
        <v>3000</v>
      </c>
      <c r="C21" s="92">
        <v>600</v>
      </c>
      <c r="D21" s="92">
        <v>2000</v>
      </c>
      <c r="I21" s="36"/>
    </row>
    <row r="22" spans="1:9" ht="25.5" customHeight="1" x14ac:dyDescent="0.5">
      <c r="A22" s="93" t="s">
        <v>109</v>
      </c>
      <c r="B22" s="88">
        <f>SUM(B14:B21)</f>
        <v>8700</v>
      </c>
      <c r="C22" s="88">
        <f>SUM(C14:C21)</f>
        <v>11700</v>
      </c>
      <c r="D22" s="88">
        <f>SUM(D14:D21)</f>
        <v>10900</v>
      </c>
      <c r="I22" s="36"/>
    </row>
    <row r="23" spans="1:9" ht="25.5" customHeight="1" x14ac:dyDescent="0.55000000000000004">
      <c r="A23" s="93" t="s">
        <v>104</v>
      </c>
      <c r="B23" s="91"/>
      <c r="C23" s="91"/>
      <c r="D23" s="91"/>
      <c r="I23" s="36"/>
    </row>
    <row r="24" spans="1:9" ht="25.5" customHeight="1" x14ac:dyDescent="0.55000000000000004">
      <c r="A24" s="87" t="s">
        <v>3</v>
      </c>
      <c r="B24" s="91">
        <v>7500</v>
      </c>
      <c r="C24" s="91">
        <v>1500</v>
      </c>
      <c r="D24" s="91">
        <v>5000</v>
      </c>
      <c r="I24" s="36"/>
    </row>
    <row r="25" spans="1:9" ht="25.5" customHeight="1" x14ac:dyDescent="0.55000000000000004">
      <c r="A25" s="87" t="s">
        <v>8</v>
      </c>
      <c r="B25" s="91">
        <v>10500</v>
      </c>
      <c r="C25" s="91">
        <v>10500</v>
      </c>
      <c r="D25" s="91">
        <v>11000</v>
      </c>
      <c r="I25" s="36"/>
    </row>
    <row r="26" spans="1:9" ht="25.5" customHeight="1" x14ac:dyDescent="0.55000000000000004">
      <c r="A26" s="87" t="s">
        <v>138</v>
      </c>
      <c r="B26" s="91">
        <v>1200</v>
      </c>
      <c r="C26" s="91">
        <v>3400</v>
      </c>
      <c r="D26" s="91">
        <v>2000</v>
      </c>
      <c r="I26" s="36"/>
    </row>
    <row r="27" spans="1:9" ht="25.5" customHeight="1" x14ac:dyDescent="0.55000000000000004">
      <c r="A27" s="87" t="s">
        <v>139</v>
      </c>
      <c r="B27" s="91">
        <v>500</v>
      </c>
      <c r="C27" s="91">
        <v>0</v>
      </c>
      <c r="D27" s="91">
        <v>500</v>
      </c>
      <c r="I27" s="36"/>
    </row>
    <row r="28" spans="1:9" ht="25.5" customHeight="1" x14ac:dyDescent="0.55000000000000004">
      <c r="A28" s="87" t="s">
        <v>66</v>
      </c>
      <c r="B28" s="91">
        <v>2500</v>
      </c>
      <c r="C28" s="91">
        <v>7000</v>
      </c>
      <c r="D28" s="91">
        <v>3000</v>
      </c>
      <c r="I28" s="36"/>
    </row>
    <row r="29" spans="1:9" ht="25.5" customHeight="1" x14ac:dyDescent="0.55000000000000004">
      <c r="A29" s="87" t="s">
        <v>4</v>
      </c>
      <c r="B29" s="91">
        <v>6000</v>
      </c>
      <c r="C29" s="91">
        <v>7200</v>
      </c>
      <c r="D29" s="91">
        <v>6000</v>
      </c>
      <c r="I29" s="36"/>
    </row>
    <row r="30" spans="1:9" ht="25.5" customHeight="1" x14ac:dyDescent="0.55000000000000004">
      <c r="A30" s="87" t="s">
        <v>218</v>
      </c>
      <c r="B30" s="91">
        <v>0</v>
      </c>
      <c r="C30" s="91">
        <v>2000</v>
      </c>
      <c r="D30" s="91">
        <v>1000</v>
      </c>
      <c r="I30" s="36"/>
    </row>
    <row r="31" spans="1:9" ht="25.5" customHeight="1" x14ac:dyDescent="0.55000000000000004">
      <c r="A31" s="87" t="s">
        <v>5</v>
      </c>
      <c r="B31" s="91">
        <v>6000</v>
      </c>
      <c r="C31" s="91">
        <v>7000</v>
      </c>
      <c r="D31" s="91">
        <v>7000</v>
      </c>
      <c r="I31" s="36"/>
    </row>
    <row r="32" spans="1:9" ht="25.5" customHeight="1" x14ac:dyDescent="0.55000000000000004">
      <c r="A32" s="87" t="s">
        <v>105</v>
      </c>
      <c r="B32" s="92">
        <v>1200</v>
      </c>
      <c r="C32" s="92">
        <v>1095</v>
      </c>
      <c r="D32" s="92">
        <v>1200</v>
      </c>
      <c r="I32" s="36"/>
    </row>
    <row r="33" spans="1:9" ht="25.5" customHeight="1" x14ac:dyDescent="0.5">
      <c r="A33" s="93" t="s">
        <v>110</v>
      </c>
      <c r="B33" s="88">
        <f>SUM(B24:B32)</f>
        <v>35400</v>
      </c>
      <c r="C33" s="88">
        <f>SUM(C24:C32)</f>
        <v>39695</v>
      </c>
      <c r="D33" s="88">
        <f>SUM(D24:D32)</f>
        <v>36700</v>
      </c>
      <c r="I33" s="36"/>
    </row>
    <row r="34" spans="1:9" ht="25.5" customHeight="1" x14ac:dyDescent="0.55000000000000004">
      <c r="A34" s="93" t="s">
        <v>106</v>
      </c>
      <c r="B34" s="91"/>
      <c r="C34" s="91"/>
      <c r="D34" s="91"/>
      <c r="I34" s="36"/>
    </row>
    <row r="35" spans="1:9" ht="25.5" customHeight="1" x14ac:dyDescent="0.55000000000000004">
      <c r="A35" s="87" t="s">
        <v>6</v>
      </c>
      <c r="B35" s="91">
        <v>13000</v>
      </c>
      <c r="C35" s="91">
        <v>4000</v>
      </c>
      <c r="D35" s="91">
        <f>350*12</f>
        <v>4200</v>
      </c>
      <c r="I35" s="36"/>
    </row>
    <row r="36" spans="1:9" ht="25.5" customHeight="1" x14ac:dyDescent="0.55000000000000004">
      <c r="A36" s="87" t="s">
        <v>114</v>
      </c>
      <c r="B36" s="91">
        <v>0</v>
      </c>
      <c r="C36" s="91">
        <v>0</v>
      </c>
      <c r="D36" s="91">
        <v>500</v>
      </c>
      <c r="I36" s="36"/>
    </row>
    <row r="37" spans="1:9" ht="25.5" customHeight="1" x14ac:dyDescent="0.55000000000000004">
      <c r="A37" s="87" t="s">
        <v>61</v>
      </c>
      <c r="B37" s="91">
        <v>800</v>
      </c>
      <c r="C37" s="91">
        <v>0</v>
      </c>
      <c r="D37" s="91">
        <v>1000</v>
      </c>
      <c r="I37" s="36"/>
    </row>
    <row r="38" spans="1:9" ht="25.5" customHeight="1" x14ac:dyDescent="0.55000000000000004">
      <c r="A38" s="87" t="s">
        <v>15</v>
      </c>
      <c r="B38" s="91">
        <v>3500</v>
      </c>
      <c r="C38" s="91">
        <v>5500</v>
      </c>
      <c r="D38" s="92">
        <v>3500</v>
      </c>
      <c r="I38" s="36"/>
    </row>
    <row r="39" spans="1:9" ht="25.5" customHeight="1" x14ac:dyDescent="0.5">
      <c r="A39" s="93" t="s">
        <v>111</v>
      </c>
      <c r="B39" s="88">
        <f>SUM(B35:B38)</f>
        <v>17300</v>
      </c>
      <c r="C39" s="88">
        <f>SUM(C35:C38)</f>
        <v>9500</v>
      </c>
      <c r="D39" s="88">
        <f>SUM(D35:D38)</f>
        <v>9200</v>
      </c>
      <c r="I39" s="36"/>
    </row>
    <row r="40" spans="1:9" ht="25.5" customHeight="1" x14ac:dyDescent="0.55000000000000004">
      <c r="A40" s="93" t="s">
        <v>107</v>
      </c>
      <c r="B40" s="91"/>
      <c r="C40" s="91"/>
      <c r="D40" s="91"/>
      <c r="I40" s="36"/>
    </row>
    <row r="41" spans="1:9" ht="25.5" customHeight="1" x14ac:dyDescent="0.55000000000000004">
      <c r="A41" s="87" t="s">
        <v>12</v>
      </c>
      <c r="B41" s="91">
        <v>8800</v>
      </c>
      <c r="C41" s="91">
        <v>7000</v>
      </c>
      <c r="D41" s="91">
        <v>7400</v>
      </c>
      <c r="I41" s="36"/>
    </row>
    <row r="42" spans="1:9" ht="25.5" customHeight="1" x14ac:dyDescent="0.55000000000000004">
      <c r="A42" s="87" t="s">
        <v>13</v>
      </c>
      <c r="B42" s="91">
        <v>7800</v>
      </c>
      <c r="C42" s="91">
        <v>7200</v>
      </c>
      <c r="D42" s="91">
        <v>7500</v>
      </c>
      <c r="E42" s="36">
        <f>2208*12</f>
        <v>26496</v>
      </c>
      <c r="I42" s="36"/>
    </row>
    <row r="43" spans="1:9" ht="25.5" customHeight="1" x14ac:dyDescent="0.55000000000000004">
      <c r="A43" s="87" t="s">
        <v>14</v>
      </c>
      <c r="B43" s="92">
        <v>4000</v>
      </c>
      <c r="C43" s="92">
        <v>6000</v>
      </c>
      <c r="D43" s="92">
        <v>6000</v>
      </c>
      <c r="I43" s="36"/>
    </row>
    <row r="44" spans="1:9" ht="25.5" customHeight="1" x14ac:dyDescent="0.5">
      <c r="A44" s="93" t="s">
        <v>112</v>
      </c>
      <c r="B44" s="88">
        <f>SUM(B41:B43)</f>
        <v>20600</v>
      </c>
      <c r="C44" s="88">
        <f>SUM(C41:C43)</f>
        <v>20200</v>
      </c>
      <c r="D44" s="88">
        <f>SUM(D41:D43)</f>
        <v>20900</v>
      </c>
      <c r="I44" s="36"/>
    </row>
    <row r="45" spans="1:9" ht="25.5" customHeight="1" x14ac:dyDescent="0.5">
      <c r="A45" s="93" t="s">
        <v>146</v>
      </c>
      <c r="B45" s="88">
        <f>4480*12</f>
        <v>53760</v>
      </c>
      <c r="C45" s="88">
        <f>4480*12</f>
        <v>53760</v>
      </c>
      <c r="D45" s="88"/>
      <c r="I45" s="36"/>
    </row>
    <row r="46" spans="1:9" ht="25.5" customHeight="1" x14ac:dyDescent="0.55000000000000004">
      <c r="A46" s="93" t="s">
        <v>108</v>
      </c>
      <c r="B46" s="91"/>
      <c r="C46" s="91"/>
      <c r="D46" s="91"/>
      <c r="I46" s="36"/>
    </row>
    <row r="47" spans="1:9" ht="25.5" customHeight="1" x14ac:dyDescent="0.55000000000000004">
      <c r="A47" s="87" t="s">
        <v>115</v>
      </c>
      <c r="B47" s="91">
        <v>70000</v>
      </c>
      <c r="C47" s="91">
        <f>5900*12</f>
        <v>70800</v>
      </c>
      <c r="D47" s="91">
        <v>74000</v>
      </c>
      <c r="I47" s="36"/>
    </row>
    <row r="48" spans="1:9" ht="25.5" customHeight="1" thickBot="1" x14ac:dyDescent="0.55000000000000004">
      <c r="A48" s="93" t="s">
        <v>113</v>
      </c>
      <c r="B48" s="111">
        <f>SUM(B47)</f>
        <v>70000</v>
      </c>
      <c r="C48" s="111">
        <f>SUM(C47:C47)</f>
        <v>70800</v>
      </c>
      <c r="D48" s="111">
        <f>SUM(D47)</f>
        <v>74000</v>
      </c>
      <c r="I48" s="36"/>
    </row>
    <row r="49" spans="1:11" ht="25.5" customHeight="1" thickBot="1" x14ac:dyDescent="0.55000000000000004">
      <c r="A49" s="93" t="s">
        <v>23</v>
      </c>
      <c r="B49" s="88">
        <f>SUM(B47+B45+B44+B39+B33+B22)</f>
        <v>205760</v>
      </c>
      <c r="C49" s="88">
        <f>SUM(C48+C44+C39+C33+C22+C45)</f>
        <v>205655</v>
      </c>
      <c r="D49" s="88">
        <f>SUM(D44+D39+D22+D33+D48)</f>
        <v>151700</v>
      </c>
      <c r="I49" s="36"/>
    </row>
    <row r="50" spans="1:11" ht="25.5" customHeight="1" x14ac:dyDescent="0.5">
      <c r="A50" s="153"/>
      <c r="B50" s="185" t="s">
        <v>220</v>
      </c>
      <c r="C50" s="186"/>
      <c r="D50" s="88"/>
      <c r="I50" s="36"/>
    </row>
    <row r="51" spans="1:11" ht="25.5" customHeight="1" x14ac:dyDescent="0.55000000000000004">
      <c r="A51" s="98" t="s">
        <v>196</v>
      </c>
      <c r="B51" s="181">
        <v>966684.9</v>
      </c>
      <c r="C51" s="182"/>
      <c r="D51" s="88"/>
      <c r="I51" s="36"/>
    </row>
    <row r="52" spans="1:11" ht="25.5" customHeight="1" x14ac:dyDescent="0.55000000000000004">
      <c r="A52" s="98" t="s">
        <v>197</v>
      </c>
      <c r="B52" s="181">
        <v>52121</v>
      </c>
      <c r="C52" s="182"/>
      <c r="D52" s="88"/>
      <c r="I52" s="36"/>
    </row>
    <row r="53" spans="1:11" ht="25.5" customHeight="1" x14ac:dyDescent="0.55000000000000004">
      <c r="A53" s="98" t="s">
        <v>64</v>
      </c>
      <c r="B53" s="181">
        <v>6327.2</v>
      </c>
      <c r="C53" s="182"/>
      <c r="D53" s="88"/>
      <c r="I53" s="36"/>
    </row>
    <row r="54" spans="1:11" ht="25.5" customHeight="1" x14ac:dyDescent="0.55000000000000004">
      <c r="A54" s="98" t="s">
        <v>221</v>
      </c>
      <c r="B54" s="181">
        <v>65304.83</v>
      </c>
      <c r="C54" s="182"/>
      <c r="D54" s="88"/>
      <c r="I54" s="36"/>
    </row>
    <row r="55" spans="1:11" ht="31.2" thickBot="1" x14ac:dyDescent="0.6">
      <c r="A55" s="154" t="s">
        <v>198</v>
      </c>
      <c r="B55" s="183">
        <f>SUM(B51:C54)</f>
        <v>1090437.93</v>
      </c>
      <c r="C55" s="184"/>
      <c r="D55" s="91"/>
    </row>
    <row r="56" spans="1:11" s="48" customFormat="1" ht="30" x14ac:dyDescent="0.5">
      <c r="A56" s="150" t="s">
        <v>41</v>
      </c>
      <c r="B56" s="151" t="s">
        <v>65</v>
      </c>
      <c r="C56" s="152" t="s">
        <v>131</v>
      </c>
      <c r="D56" s="97"/>
      <c r="G56" s="49"/>
      <c r="H56" s="50"/>
      <c r="I56" s="49"/>
      <c r="J56" s="49"/>
      <c r="K56" s="49"/>
    </row>
    <row r="57" spans="1:11" s="48" customFormat="1" ht="36" customHeight="1" x14ac:dyDescent="0.55000000000000004">
      <c r="A57" s="98" t="s">
        <v>33</v>
      </c>
      <c r="B57" s="99">
        <v>5.1139999999999998E-2</v>
      </c>
      <c r="C57" s="137">
        <f>D49*B57/12</f>
        <v>646.4948333333333</v>
      </c>
      <c r="D57" s="113">
        <f>C57*6*12</f>
        <v>46547.627999999997</v>
      </c>
      <c r="E57" s="57"/>
      <c r="F57" s="57"/>
      <c r="G57" s="47"/>
      <c r="H57" s="50">
        <f>SUM(C57*6*12)</f>
        <v>46547.627999999997</v>
      </c>
      <c r="I57" s="47"/>
      <c r="J57" s="47"/>
      <c r="K57" s="47"/>
    </row>
    <row r="58" spans="1:11" s="48" customFormat="1" ht="36" customHeight="1" x14ac:dyDescent="0.55000000000000004">
      <c r="A58" s="98" t="s">
        <v>34</v>
      </c>
      <c r="B58" s="99">
        <v>5.679E-2</v>
      </c>
      <c r="C58" s="137">
        <f>D49*B58/12</f>
        <v>717.92025000000001</v>
      </c>
      <c r="D58" s="113">
        <f>C58*6*12</f>
        <v>51690.258000000002</v>
      </c>
      <c r="E58" s="57"/>
      <c r="F58" s="57"/>
      <c r="G58" s="47"/>
      <c r="H58" s="50">
        <f>SUM(C58*6*12)</f>
        <v>51690.258000000002</v>
      </c>
      <c r="I58" s="47"/>
      <c r="J58" s="47"/>
      <c r="K58" s="47"/>
    </row>
    <row r="59" spans="1:11" s="48" customFormat="1" ht="36" customHeight="1" x14ac:dyDescent="0.55000000000000004">
      <c r="A59" s="98" t="s">
        <v>35</v>
      </c>
      <c r="B59" s="99">
        <v>5.5509999999999997E-2</v>
      </c>
      <c r="C59" s="137">
        <f>D49*B59/12</f>
        <v>701.73891666666668</v>
      </c>
      <c r="D59" s="113">
        <f>C59*3*12</f>
        <v>25262.601000000002</v>
      </c>
      <c r="E59" s="57"/>
      <c r="F59" s="57"/>
      <c r="G59" s="47"/>
      <c r="H59" s="50">
        <f>SUM(C59*3*12)</f>
        <v>25262.601000000002</v>
      </c>
      <c r="I59" s="47"/>
      <c r="J59" s="47"/>
      <c r="K59" s="47"/>
    </row>
    <row r="60" spans="1:11" s="48" customFormat="1" ht="36" customHeight="1" x14ac:dyDescent="0.55000000000000004">
      <c r="A60" s="101" t="s">
        <v>36</v>
      </c>
      <c r="B60" s="99">
        <v>5.7230000000000003E-2</v>
      </c>
      <c r="C60" s="137">
        <f>D49*B60/12</f>
        <v>723.48258333333342</v>
      </c>
      <c r="D60" s="113">
        <f>C60*12</f>
        <v>8681.7910000000011</v>
      </c>
      <c r="E60" s="57"/>
      <c r="F60" s="57"/>
      <c r="G60" s="47"/>
      <c r="H60" s="50">
        <f>SUM(C60*1*12)</f>
        <v>8681.7910000000011</v>
      </c>
      <c r="I60" s="47"/>
      <c r="J60" s="47"/>
      <c r="K60" s="47"/>
    </row>
    <row r="61" spans="1:11" s="48" customFormat="1" ht="36" customHeight="1" x14ac:dyDescent="0.55000000000000004">
      <c r="A61" s="101" t="s">
        <v>92</v>
      </c>
      <c r="B61" s="99">
        <v>5.9200000000000003E-2</v>
      </c>
      <c r="C61" s="137">
        <f>D49*B61/12</f>
        <v>748.38666666666677</v>
      </c>
      <c r="D61" s="113">
        <f>C61*12</f>
        <v>8980.6400000000012</v>
      </c>
      <c r="E61" s="57"/>
      <c r="F61" s="57"/>
      <c r="G61" s="47"/>
      <c r="H61" s="50">
        <f>SUM(C61*12)</f>
        <v>8980.6400000000012</v>
      </c>
      <c r="I61" s="47"/>
      <c r="J61" s="47"/>
      <c r="K61" s="47"/>
    </row>
    <row r="62" spans="1:11" s="48" customFormat="1" ht="36" customHeight="1" thickBot="1" x14ac:dyDescent="0.6">
      <c r="A62" s="102" t="s">
        <v>38</v>
      </c>
      <c r="B62" s="103">
        <v>6.9459999999999994E-2</v>
      </c>
      <c r="C62" s="138">
        <f>D49*B62/12</f>
        <v>878.09016666666651</v>
      </c>
      <c r="D62" s="113">
        <f>C62*12</f>
        <v>10537.081999999999</v>
      </c>
      <c r="E62" s="57"/>
      <c r="F62" s="57"/>
      <c r="G62" s="47"/>
      <c r="H62" s="50">
        <f>SUM(C62*12)</f>
        <v>10537.081999999999</v>
      </c>
      <c r="I62" s="47"/>
      <c r="J62" s="47"/>
      <c r="K62" s="47"/>
    </row>
    <row r="63" spans="1:11" x14ac:dyDescent="0.4">
      <c r="B63" s="37"/>
      <c r="D63" s="114">
        <f>SUM(D57:D62)</f>
        <v>151700</v>
      </c>
      <c r="F63" s="58"/>
      <c r="H63" s="41">
        <f>SUM(H57:H62)</f>
        <v>151700</v>
      </c>
    </row>
    <row r="64" spans="1:11" x14ac:dyDescent="0.4">
      <c r="I64" s="41"/>
    </row>
    <row r="68" spans="9:9" x14ac:dyDescent="0.4">
      <c r="I68" s="41"/>
    </row>
  </sheetData>
  <mergeCells count="8">
    <mergeCell ref="B54:C54"/>
    <mergeCell ref="B55:C55"/>
    <mergeCell ref="A1:D1"/>
    <mergeCell ref="A2:D2"/>
    <mergeCell ref="B50:C50"/>
    <mergeCell ref="B51:C51"/>
    <mergeCell ref="B52:C52"/>
    <mergeCell ref="B53:C53"/>
  </mergeCells>
  <pageMargins left="0.25" right="0.25" top="0.75" bottom="0.75" header="0.3" footer="0.3"/>
  <pageSetup scale="3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B181-0697-4674-96B9-EC10688518E6}">
  <sheetPr>
    <tabColor rgb="FFFFFF00"/>
  </sheetPr>
  <dimension ref="A2:I24"/>
  <sheetViews>
    <sheetView zoomScale="84" zoomScaleNormal="84" workbookViewId="0">
      <selection activeCell="I24" sqref="I24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4.79687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0" width="29.59765625" style="68" bestFit="1" customWidth="1"/>
    <col min="11" max="11" width="9.19921875" style="68" bestFit="1" customWidth="1"/>
    <col min="12" max="12" width="11.69921875" style="68" customWidth="1"/>
    <col min="13" max="13" width="10.59765625" style="68" customWidth="1"/>
    <col min="14" max="16384" width="8.796875" style="68"/>
  </cols>
  <sheetData>
    <row r="2" spans="1:9" x14ac:dyDescent="0.3">
      <c r="A2" s="159" t="s">
        <v>223</v>
      </c>
      <c r="B2" s="171"/>
      <c r="C2" s="171"/>
      <c r="D2" s="171"/>
      <c r="E2" s="171"/>
      <c r="F2" s="171"/>
      <c r="G2" s="171"/>
      <c r="H2" s="171"/>
      <c r="I2" s="171"/>
    </row>
    <row r="3" spans="1:9" x14ac:dyDescent="0.3">
      <c r="A3" s="172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67" t="s">
        <v>224</v>
      </c>
    </row>
    <row r="4" spans="1:9" x14ac:dyDescent="0.3">
      <c r="A4" s="173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14" t="s">
        <v>224</v>
      </c>
      <c r="I4" s="173"/>
    </row>
    <row r="5" spans="1:9" ht="28.8" x14ac:dyDescent="0.3">
      <c r="A5" s="69"/>
      <c r="B5" s="69"/>
      <c r="C5" s="69"/>
      <c r="D5" s="69" t="s">
        <v>80</v>
      </c>
      <c r="E5" s="70">
        <v>45657</v>
      </c>
      <c r="F5" s="69" t="s">
        <v>81</v>
      </c>
      <c r="G5" s="69" t="s">
        <v>82</v>
      </c>
      <c r="H5" s="69" t="s">
        <v>83</v>
      </c>
      <c r="I5" s="17" t="s">
        <v>118</v>
      </c>
    </row>
    <row r="6" spans="1:9" x14ac:dyDescent="0.3">
      <c r="A6" s="72" t="s">
        <v>27</v>
      </c>
      <c r="B6" s="73">
        <v>7</v>
      </c>
      <c r="C6" s="74">
        <v>100000</v>
      </c>
      <c r="D6" s="75">
        <v>0.1</v>
      </c>
      <c r="E6" s="76">
        <f>$E$13*D6</f>
        <v>20260</v>
      </c>
      <c r="F6" s="73">
        <v>8</v>
      </c>
      <c r="G6" s="76">
        <f t="shared" ref="G6:G13" si="0">C6-E6</f>
        <v>79740</v>
      </c>
      <c r="H6" s="76">
        <f>G6/F6</f>
        <v>9967.5</v>
      </c>
      <c r="I6" s="76">
        <f t="shared" ref="I6:I12" si="1">H6*0.5</f>
        <v>4983.75</v>
      </c>
    </row>
    <row r="7" spans="1:9" x14ac:dyDescent="0.3">
      <c r="A7" s="72" t="s">
        <v>26</v>
      </c>
      <c r="B7" s="73">
        <v>20</v>
      </c>
      <c r="C7" s="74">
        <v>100000</v>
      </c>
      <c r="D7" s="75">
        <v>0.4</v>
      </c>
      <c r="E7" s="76">
        <f t="shared" ref="E7:E12" si="2">$E$13*D7</f>
        <v>81040</v>
      </c>
      <c r="F7" s="73">
        <v>10</v>
      </c>
      <c r="G7" s="76">
        <f t="shared" si="0"/>
        <v>18960</v>
      </c>
      <c r="H7" s="76">
        <f t="shared" ref="H7:H12" si="3">G7/F7</f>
        <v>1896</v>
      </c>
      <c r="I7" s="76">
        <f t="shared" si="1"/>
        <v>948</v>
      </c>
    </row>
    <row r="8" spans="1:9" x14ac:dyDescent="0.3">
      <c r="A8" s="15" t="s">
        <v>185</v>
      </c>
      <c r="B8" s="73">
        <v>10</v>
      </c>
      <c r="C8" s="74">
        <v>300000</v>
      </c>
      <c r="D8" s="75">
        <v>0.25</v>
      </c>
      <c r="E8" s="76">
        <f t="shared" si="2"/>
        <v>50650</v>
      </c>
      <c r="F8" s="73">
        <v>20</v>
      </c>
      <c r="G8" s="76">
        <f t="shared" si="0"/>
        <v>249350</v>
      </c>
      <c r="H8" s="76">
        <f t="shared" si="3"/>
        <v>12467.5</v>
      </c>
      <c r="I8" s="76">
        <f t="shared" si="1"/>
        <v>6233.75</v>
      </c>
    </row>
    <row r="9" spans="1:9" x14ac:dyDescent="0.3">
      <c r="A9" s="72" t="s">
        <v>85</v>
      </c>
      <c r="B9" s="73">
        <v>15</v>
      </c>
      <c r="C9" s="74">
        <v>60000</v>
      </c>
      <c r="D9" s="75">
        <v>0.05</v>
      </c>
      <c r="E9" s="76">
        <f t="shared" si="2"/>
        <v>10130</v>
      </c>
      <c r="F9" s="73">
        <v>3</v>
      </c>
      <c r="G9" s="76">
        <f t="shared" si="0"/>
        <v>49870</v>
      </c>
      <c r="H9" s="76">
        <f t="shared" si="3"/>
        <v>16623.333333333332</v>
      </c>
      <c r="I9" s="76">
        <f t="shared" si="1"/>
        <v>8311.6666666666661</v>
      </c>
    </row>
    <row r="10" spans="1:9" x14ac:dyDescent="0.3">
      <c r="A10" s="15" t="s">
        <v>184</v>
      </c>
      <c r="B10" s="73">
        <v>10</v>
      </c>
      <c r="C10" s="74">
        <v>500000</v>
      </c>
      <c r="D10" s="75">
        <v>0.1</v>
      </c>
      <c r="E10" s="76">
        <f t="shared" si="2"/>
        <v>20260</v>
      </c>
      <c r="F10" s="73">
        <v>10</v>
      </c>
      <c r="G10" s="76">
        <f t="shared" si="0"/>
        <v>479740</v>
      </c>
      <c r="H10" s="76">
        <f t="shared" si="3"/>
        <v>47974</v>
      </c>
      <c r="I10" s="76">
        <f t="shared" si="1"/>
        <v>23987</v>
      </c>
    </row>
    <row r="11" spans="1:9" x14ac:dyDescent="0.3">
      <c r="A11" s="72" t="s">
        <v>28</v>
      </c>
      <c r="B11" s="73">
        <v>30</v>
      </c>
      <c r="C11" s="74">
        <v>60000</v>
      </c>
      <c r="D11" s="75">
        <v>0.05</v>
      </c>
      <c r="E11" s="76">
        <f t="shared" si="2"/>
        <v>10130</v>
      </c>
      <c r="F11" s="73">
        <v>24</v>
      </c>
      <c r="G11" s="76">
        <f t="shared" si="0"/>
        <v>49870</v>
      </c>
      <c r="H11" s="76">
        <f t="shared" si="3"/>
        <v>2077.9166666666665</v>
      </c>
      <c r="I11" s="76">
        <f t="shared" si="1"/>
        <v>1038.9583333333333</v>
      </c>
    </row>
    <row r="12" spans="1:9" x14ac:dyDescent="0.3">
      <c r="A12" s="72" t="s">
        <v>30</v>
      </c>
      <c r="B12" s="73">
        <v>25</v>
      </c>
      <c r="C12" s="74">
        <v>29000</v>
      </c>
      <c r="D12" s="75">
        <v>0.05</v>
      </c>
      <c r="E12" s="76">
        <f t="shared" si="2"/>
        <v>10130</v>
      </c>
      <c r="F12" s="73">
        <v>11</v>
      </c>
      <c r="G12" s="76">
        <f t="shared" si="0"/>
        <v>18870</v>
      </c>
      <c r="H12" s="76">
        <f t="shared" si="3"/>
        <v>1715.4545454545455</v>
      </c>
      <c r="I12" s="76">
        <f t="shared" si="1"/>
        <v>857.72727272727275</v>
      </c>
    </row>
    <row r="13" spans="1:9" x14ac:dyDescent="0.3">
      <c r="A13" s="72" t="s">
        <v>86</v>
      </c>
      <c r="B13" s="69"/>
      <c r="C13" s="77">
        <f>SUM(C6:C12)</f>
        <v>1149000</v>
      </c>
      <c r="D13" s="78">
        <f>SUM(D6:D12)</f>
        <v>1</v>
      </c>
      <c r="E13" s="24">
        <v>202600</v>
      </c>
      <c r="F13" s="69"/>
      <c r="G13" s="79">
        <f t="shared" si="0"/>
        <v>946400</v>
      </c>
      <c r="H13" s="79">
        <f>SUM(H6:H12)</f>
        <v>92721.704545454544</v>
      </c>
      <c r="I13" s="79">
        <f>SUM(I6:I12)</f>
        <v>46360.852272727272</v>
      </c>
    </row>
    <row r="14" spans="1:9" x14ac:dyDescent="0.3">
      <c r="I14" s="107">
        <f>I13/12</f>
        <v>3863.404356060606</v>
      </c>
    </row>
    <row r="15" spans="1:9" ht="69" x14ac:dyDescent="0.3">
      <c r="A15" s="155" t="s">
        <v>41</v>
      </c>
      <c r="B15" s="81" t="s">
        <v>65</v>
      </c>
      <c r="C15" s="81" t="s">
        <v>67</v>
      </c>
      <c r="D15" s="82" t="s">
        <v>87</v>
      </c>
      <c r="E15" s="82" t="s">
        <v>88</v>
      </c>
      <c r="F15" s="112" t="s">
        <v>121</v>
      </c>
      <c r="G15" s="118" t="s">
        <v>119</v>
      </c>
    </row>
    <row r="16" spans="1:9" x14ac:dyDescent="0.3">
      <c r="A16" s="156" t="s">
        <v>33</v>
      </c>
      <c r="B16" s="84">
        <v>5.1139999999999998E-2</v>
      </c>
      <c r="C16" s="85">
        <f>'Budget 2024'!C52</f>
        <v>646.06866666666667</v>
      </c>
      <c r="D16" s="86">
        <f>SUM(H13*B16/12)</f>
        <v>395.14899753787876</v>
      </c>
      <c r="E16" s="85">
        <f t="shared" ref="E16:E21" si="4">SUM(C16+D16)</f>
        <v>1041.2176642045454</v>
      </c>
      <c r="F16" s="86">
        <f>SUM(I13*B16/12)</f>
        <v>197.57449876893938</v>
      </c>
      <c r="G16" s="106">
        <f t="shared" ref="G16:G21" si="5">SUM(C16+F16)</f>
        <v>843.64316543560608</v>
      </c>
    </row>
    <row r="17" spans="1:8" x14ac:dyDescent="0.3">
      <c r="A17" s="156" t="s">
        <v>34</v>
      </c>
      <c r="B17" s="84">
        <v>5.679E-2</v>
      </c>
      <c r="C17" s="85">
        <f>'Budget 2024'!C53</f>
        <v>717.447</v>
      </c>
      <c r="D17" s="86">
        <f>SUM(H13*B17/12)</f>
        <v>438.80546676136368</v>
      </c>
      <c r="E17" s="85">
        <f t="shared" si="4"/>
        <v>1156.2524667613636</v>
      </c>
      <c r="F17" s="86">
        <f>SUM(I13*B17/12)</f>
        <v>219.40273338068184</v>
      </c>
      <c r="G17" s="106">
        <f t="shared" si="5"/>
        <v>936.84973338068187</v>
      </c>
    </row>
    <row r="18" spans="1:8" x14ac:dyDescent="0.3">
      <c r="A18" s="156" t="s">
        <v>35</v>
      </c>
      <c r="B18" s="84">
        <v>5.5509999999999997E-2</v>
      </c>
      <c r="C18" s="85">
        <f>'Budget 2024'!C54</f>
        <v>701.27633333333324</v>
      </c>
      <c r="D18" s="86">
        <f>SUM(H13*B18/12)</f>
        <v>428.91515160984846</v>
      </c>
      <c r="E18" s="85">
        <f t="shared" si="4"/>
        <v>1130.1914849431816</v>
      </c>
      <c r="F18" s="86">
        <f>SUM(I13*B18/12)</f>
        <v>214.45757580492423</v>
      </c>
      <c r="G18" s="106">
        <f t="shared" si="5"/>
        <v>915.73390913825745</v>
      </c>
    </row>
    <row r="19" spans="1:8" x14ac:dyDescent="0.3">
      <c r="A19" s="156" t="s">
        <v>36</v>
      </c>
      <c r="B19" s="84">
        <v>5.7230000000000003E-2</v>
      </c>
      <c r="C19" s="85">
        <f>'Budget 2024'!C55</f>
        <v>723.0056666666668</v>
      </c>
      <c r="D19" s="86">
        <f>SUM(H13*B19/12)</f>
        <v>442.20526259469699</v>
      </c>
      <c r="E19" s="85">
        <f t="shared" si="4"/>
        <v>1165.2109292613638</v>
      </c>
      <c r="F19" s="86">
        <f>SUM(I13*B19/12)</f>
        <v>221.10263129734849</v>
      </c>
      <c r="G19" s="106">
        <f t="shared" si="5"/>
        <v>944.10829796401526</v>
      </c>
    </row>
    <row r="20" spans="1:8" x14ac:dyDescent="0.3">
      <c r="A20" s="156" t="s">
        <v>92</v>
      </c>
      <c r="B20" s="84">
        <v>5.9200000000000003E-2</v>
      </c>
      <c r="C20" s="85">
        <f>'Budget 2024'!C56</f>
        <v>747.89333333333343</v>
      </c>
      <c r="D20" s="86">
        <f>SUM(H13*B20/12)</f>
        <v>457.42707575757578</v>
      </c>
      <c r="E20" s="85">
        <f t="shared" si="4"/>
        <v>1205.3204090909092</v>
      </c>
      <c r="F20" s="86">
        <f>SUM(I13*B20/12)</f>
        <v>228.71353787878789</v>
      </c>
      <c r="G20" s="106">
        <f t="shared" si="5"/>
        <v>976.60687121212129</v>
      </c>
    </row>
    <row r="21" spans="1:8" x14ac:dyDescent="0.3">
      <c r="A21" s="156" t="s">
        <v>38</v>
      </c>
      <c r="B21" s="84">
        <v>6.9459999999999994E-2</v>
      </c>
      <c r="C21" s="85">
        <f>'Budget 2024'!C57</f>
        <v>877.51133333333325</v>
      </c>
      <c r="D21" s="86">
        <f>SUM(H13*B21/12)</f>
        <v>536.70413314393932</v>
      </c>
      <c r="E21" s="85">
        <f t="shared" si="4"/>
        <v>1414.2154664772725</v>
      </c>
      <c r="F21" s="86">
        <f>SUM(I13*B21/12)</f>
        <v>268.35206657196966</v>
      </c>
      <c r="G21" s="106">
        <f t="shared" si="5"/>
        <v>1145.8633999053029</v>
      </c>
    </row>
    <row r="22" spans="1:8" ht="16.2" thickBot="1" x14ac:dyDescent="0.35"/>
    <row r="23" spans="1:8" x14ac:dyDescent="0.3">
      <c r="A23" s="174" t="s">
        <v>91</v>
      </c>
      <c r="B23" s="175"/>
      <c r="C23" s="175"/>
      <c r="D23" s="175"/>
      <c r="E23" s="175"/>
      <c r="F23" s="175"/>
      <c r="G23" s="175"/>
      <c r="H23" s="176"/>
    </row>
    <row r="24" spans="1:8" ht="16.2" thickBot="1" x14ac:dyDescent="0.35">
      <c r="A24" s="177"/>
      <c r="B24" s="178"/>
      <c r="C24" s="178"/>
      <c r="D24" s="178"/>
      <c r="E24" s="178"/>
      <c r="F24" s="178"/>
      <c r="G24" s="178"/>
      <c r="H24" s="179"/>
    </row>
  </sheetData>
  <mergeCells count="4">
    <mergeCell ref="A2:I2"/>
    <mergeCell ref="A3:A4"/>
    <mergeCell ref="I3:I4"/>
    <mergeCell ref="A23:H24"/>
  </mergeCells>
  <pageMargins left="0.2" right="0.2" top="0.75" bottom="0.4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opLeftCell="A4" workbookViewId="0">
      <selection activeCell="E14" sqref="E14:E19"/>
    </sheetView>
  </sheetViews>
  <sheetFormatPr defaultColWidth="8.796875" defaultRowHeight="15.6" x14ac:dyDescent="0.3"/>
  <cols>
    <col min="1" max="1" width="30.296875" customWidth="1"/>
    <col min="2" max="2" width="9.09765625" bestFit="1" customWidth="1"/>
    <col min="3" max="3" width="14.796875" bestFit="1" customWidth="1"/>
    <col min="4" max="4" width="9.796875" bestFit="1" customWidth="1"/>
    <col min="5" max="5" width="13.59765625" bestFit="1" customWidth="1"/>
    <col min="6" max="6" width="11.59765625" customWidth="1"/>
    <col min="7" max="7" width="21" bestFit="1" customWidth="1"/>
    <col min="8" max="8" width="40.09765625" bestFit="1" customWidth="1"/>
    <col min="9" max="9" width="14.59765625" customWidth="1"/>
    <col min="10" max="10" width="15" bestFit="1" customWidth="1"/>
  </cols>
  <sheetData>
    <row r="2" spans="1:12" x14ac:dyDescent="0.3">
      <c r="A2" s="159" t="s">
        <v>68</v>
      </c>
      <c r="B2" s="159"/>
      <c r="C2" s="159"/>
      <c r="D2" s="159"/>
      <c r="E2" s="159"/>
      <c r="F2" s="159"/>
      <c r="G2" s="159"/>
      <c r="H2" s="159"/>
    </row>
    <row r="3" spans="1:12" x14ac:dyDescent="0.3">
      <c r="A3" s="14" t="s">
        <v>69</v>
      </c>
      <c r="B3" s="14" t="s">
        <v>54</v>
      </c>
      <c r="C3" s="14" t="s">
        <v>54</v>
      </c>
      <c r="D3" s="14" t="s">
        <v>70</v>
      </c>
      <c r="E3" s="14" t="s">
        <v>71</v>
      </c>
      <c r="F3" s="14" t="s">
        <v>72</v>
      </c>
      <c r="G3" s="14" t="s">
        <v>73</v>
      </c>
      <c r="H3" s="14" t="s">
        <v>74</v>
      </c>
      <c r="I3" s="15"/>
    </row>
    <row r="4" spans="1:12" x14ac:dyDescent="0.3">
      <c r="A4" s="14"/>
      <c r="B4" s="14" t="s">
        <v>75</v>
      </c>
      <c r="C4" s="14" t="s">
        <v>76</v>
      </c>
      <c r="D4" s="14" t="s">
        <v>77</v>
      </c>
      <c r="E4" s="14" t="s">
        <v>25</v>
      </c>
      <c r="F4" s="14" t="s">
        <v>78</v>
      </c>
      <c r="G4" s="14" t="s">
        <v>74</v>
      </c>
      <c r="H4" s="14" t="s">
        <v>79</v>
      </c>
      <c r="I4" s="14" t="s">
        <v>79</v>
      </c>
    </row>
    <row r="5" spans="1:12" ht="28.8" x14ac:dyDescent="0.3">
      <c r="A5" s="14"/>
      <c r="B5" s="14"/>
      <c r="C5" s="14"/>
      <c r="D5" s="14" t="s">
        <v>80</v>
      </c>
      <c r="E5" s="16">
        <v>42735</v>
      </c>
      <c r="F5" s="14" t="s">
        <v>81</v>
      </c>
      <c r="G5" s="14" t="s">
        <v>82</v>
      </c>
      <c r="H5" s="14" t="s">
        <v>83</v>
      </c>
      <c r="I5" s="17" t="s">
        <v>84</v>
      </c>
      <c r="K5">
        <f>1826.58*4</f>
        <v>7306.32</v>
      </c>
    </row>
    <row r="6" spans="1:12" x14ac:dyDescent="0.3">
      <c r="A6" s="15" t="s">
        <v>27</v>
      </c>
      <c r="B6" s="18">
        <v>7</v>
      </c>
      <c r="C6" s="19">
        <v>40000</v>
      </c>
      <c r="D6" s="20">
        <v>0.3</v>
      </c>
      <c r="E6" s="21">
        <f>SUM(E11*D6)</f>
        <v>7243.4009999999989</v>
      </c>
      <c r="F6" s="18">
        <v>3</v>
      </c>
      <c r="G6" s="21">
        <f>C6-E6</f>
        <v>32756.599000000002</v>
      </c>
      <c r="H6" s="21">
        <f>SUM(G6/F6)</f>
        <v>10918.866333333333</v>
      </c>
      <c r="I6" s="21">
        <f>SUM(H6*0.7)</f>
        <v>7643.2064333333328</v>
      </c>
      <c r="K6">
        <f>9140.41</f>
        <v>9140.41</v>
      </c>
    </row>
    <row r="7" spans="1:12" x14ac:dyDescent="0.3">
      <c r="A7" s="15" t="s">
        <v>26</v>
      </c>
      <c r="B7" s="18">
        <v>20</v>
      </c>
      <c r="C7" s="19">
        <v>80000</v>
      </c>
      <c r="D7" s="20">
        <v>0.4</v>
      </c>
      <c r="E7" s="21">
        <f>SUM(E11*D7)</f>
        <v>9657.8680000000004</v>
      </c>
      <c r="F7" s="18">
        <v>17</v>
      </c>
      <c r="G7" s="21">
        <f>C7-E7</f>
        <v>70342.131999999998</v>
      </c>
      <c r="H7" s="21">
        <f>SUM(G7/F7)</f>
        <v>4137.7724705882356</v>
      </c>
      <c r="I7" s="21">
        <f>SUM(H7*0.7)</f>
        <v>2896.4407294117646</v>
      </c>
      <c r="K7">
        <v>7697.94</v>
      </c>
    </row>
    <row r="8" spans="1:12" x14ac:dyDescent="0.3">
      <c r="A8" s="15" t="s">
        <v>85</v>
      </c>
      <c r="B8" s="18">
        <v>15</v>
      </c>
      <c r="C8" s="19">
        <v>60000</v>
      </c>
      <c r="D8" s="20">
        <v>0.05</v>
      </c>
      <c r="E8" s="21">
        <f>SUM(E11*D8)</f>
        <v>1207.2335</v>
      </c>
      <c r="F8" s="18">
        <v>10</v>
      </c>
      <c r="G8" s="21">
        <f>C8-E8</f>
        <v>58792.766499999998</v>
      </c>
      <c r="H8" s="21">
        <f>SUM(G8/F8)</f>
        <v>5879.2766499999998</v>
      </c>
      <c r="I8" s="21">
        <f>SUM(H8*0.7)</f>
        <v>4115.4936549999993</v>
      </c>
      <c r="K8">
        <f>SUM(K5:K7)</f>
        <v>24144.67</v>
      </c>
    </row>
    <row r="9" spans="1:12" x14ac:dyDescent="0.3">
      <c r="A9" s="15" t="s">
        <v>28</v>
      </c>
      <c r="B9" s="18">
        <v>30</v>
      </c>
      <c r="C9" s="19">
        <v>81900</v>
      </c>
      <c r="D9" s="20">
        <v>0.2</v>
      </c>
      <c r="E9" s="21">
        <f>SUM(E11*D9)</f>
        <v>4828.9340000000002</v>
      </c>
      <c r="F9" s="18">
        <v>25</v>
      </c>
      <c r="G9" s="21">
        <f>SUM(C9-E9)</f>
        <v>77071.066000000006</v>
      </c>
      <c r="H9" s="21">
        <f>SUM(G9/F9)</f>
        <v>3082.8426400000003</v>
      </c>
      <c r="I9" s="21">
        <f>SUM(H9*0.7)</f>
        <v>2157.9898480000002</v>
      </c>
    </row>
    <row r="10" spans="1:12" x14ac:dyDescent="0.3">
      <c r="A10" s="15" t="s">
        <v>30</v>
      </c>
      <c r="B10" s="18">
        <v>25</v>
      </c>
      <c r="C10" s="19">
        <v>29000</v>
      </c>
      <c r="D10" s="20">
        <v>0.05</v>
      </c>
      <c r="E10" s="21">
        <f>SUM(E11*D10)</f>
        <v>1207.2335</v>
      </c>
      <c r="F10" s="18">
        <v>20</v>
      </c>
      <c r="G10" s="21">
        <f>C10-E10</f>
        <v>27792.766500000002</v>
      </c>
      <c r="H10" s="21">
        <f>SUM(G10/F10)</f>
        <v>1389.6383250000001</v>
      </c>
      <c r="I10" s="21">
        <f>SUM(H10*0.7)</f>
        <v>972.74682749999999</v>
      </c>
    </row>
    <row r="11" spans="1:12" x14ac:dyDescent="0.3">
      <c r="A11" s="15" t="s">
        <v>86</v>
      </c>
      <c r="B11" s="14"/>
      <c r="C11" s="22">
        <f>SUM(C6:C8)</f>
        <v>180000</v>
      </c>
      <c r="D11" s="23">
        <f>SUM(D6:D10)</f>
        <v>1</v>
      </c>
      <c r="E11" s="24">
        <v>24144.67</v>
      </c>
      <c r="F11" s="14"/>
      <c r="G11" s="24">
        <f>C11-E11</f>
        <v>155855.33000000002</v>
      </c>
      <c r="H11" s="24">
        <f>SUM(H6:H10)</f>
        <v>25408.396418921566</v>
      </c>
      <c r="I11" s="24">
        <f>SUM(I6:I10)</f>
        <v>17785.877493245098</v>
      </c>
    </row>
    <row r="13" spans="1:12" ht="69.599999999999994" x14ac:dyDescent="0.3">
      <c r="A13" s="25" t="s">
        <v>41</v>
      </c>
      <c r="B13" s="26" t="s">
        <v>65</v>
      </c>
      <c r="C13" s="27" t="s">
        <v>67</v>
      </c>
      <c r="D13" s="28" t="s">
        <v>87</v>
      </c>
      <c r="E13" s="29" t="s">
        <v>88</v>
      </c>
      <c r="F13" s="28" t="s">
        <v>89</v>
      </c>
      <c r="G13" s="66" t="s">
        <v>90</v>
      </c>
      <c r="L13">
        <f>33610+1482+1482+1482</f>
        <v>38056</v>
      </c>
    </row>
    <row r="14" spans="1:12" x14ac:dyDescent="0.3">
      <c r="A14" s="30" t="s">
        <v>33</v>
      </c>
      <c r="B14" s="31">
        <v>5.1139999999999998E-2</v>
      </c>
      <c r="C14" s="32">
        <v>470.06183333333337</v>
      </c>
      <c r="D14" s="33">
        <f>SUM(H11*B14/12)</f>
        <v>108.28211607197073</v>
      </c>
      <c r="E14" s="32">
        <f t="shared" ref="E14:E19" si="0">SUM(C14+D14)</f>
        <v>578.3439494053041</v>
      </c>
      <c r="F14" s="33">
        <f>SUM(I11*B14/12)</f>
        <v>75.797481250379519</v>
      </c>
      <c r="G14" s="67">
        <f t="shared" ref="G14:G19" si="1">SUM(F14+C14)</f>
        <v>545.85931458371283</v>
      </c>
    </row>
    <row r="15" spans="1:12" x14ac:dyDescent="0.3">
      <c r="A15" s="30" t="s">
        <v>34</v>
      </c>
      <c r="B15" s="31">
        <v>5.679E-2</v>
      </c>
      <c r="C15" s="32">
        <v>521.99474999999995</v>
      </c>
      <c r="D15" s="33">
        <f>SUM(H11*B15/12)</f>
        <v>120.24523605254632</v>
      </c>
      <c r="E15" s="32">
        <f t="shared" si="0"/>
        <v>642.23998605254633</v>
      </c>
      <c r="F15" s="33">
        <f>SUM(I11*B15/12)</f>
        <v>84.171665236782431</v>
      </c>
      <c r="G15" s="67">
        <f t="shared" si="1"/>
        <v>606.16641523678243</v>
      </c>
    </row>
    <row r="16" spans="1:12" x14ac:dyDescent="0.3">
      <c r="A16" s="30" t="s">
        <v>35</v>
      </c>
      <c r="B16" s="31">
        <v>5.5509999999999997E-2</v>
      </c>
      <c r="C16" s="32">
        <v>510.22941666666662</v>
      </c>
      <c r="D16" s="33">
        <f>SUM(H11*B16/12)</f>
        <v>117.53500710119467</v>
      </c>
      <c r="E16" s="32">
        <f t="shared" si="0"/>
        <v>627.76442376786133</v>
      </c>
      <c r="F16" s="33">
        <f>SUM(I11*B16/12)</f>
        <v>82.274504970836276</v>
      </c>
      <c r="G16" s="67">
        <f t="shared" si="1"/>
        <v>592.50392163750291</v>
      </c>
    </row>
    <row r="17" spans="1:8" x14ac:dyDescent="0.3">
      <c r="A17" s="30" t="s">
        <v>36</v>
      </c>
      <c r="B17" s="31">
        <v>5.7230000000000003E-2</v>
      </c>
      <c r="C17" s="32">
        <v>526.03908333333334</v>
      </c>
      <c r="D17" s="33">
        <f>SUM(H11*B17/12)</f>
        <v>121.17687725457343</v>
      </c>
      <c r="E17" s="32">
        <f t="shared" si="0"/>
        <v>647.21596058790681</v>
      </c>
      <c r="F17" s="33">
        <f>SUM(I11*B17/12)</f>
        <v>84.823814078201409</v>
      </c>
      <c r="G17" s="67">
        <f t="shared" si="1"/>
        <v>610.86289741153473</v>
      </c>
    </row>
    <row r="18" spans="1:8" x14ac:dyDescent="0.3">
      <c r="A18" s="30" t="s">
        <v>92</v>
      </c>
      <c r="B18" s="31">
        <v>5.9200000000000003E-2</v>
      </c>
      <c r="C18" s="32">
        <v>544.14666666666665</v>
      </c>
      <c r="D18" s="33">
        <f>SUM(H11*B18/12)</f>
        <v>125.34808900001308</v>
      </c>
      <c r="E18" s="32">
        <f t="shared" si="0"/>
        <v>669.49475566667968</v>
      </c>
      <c r="F18" s="33">
        <f>SUM(I11*B18/12)</f>
        <v>87.743662300009149</v>
      </c>
      <c r="G18" s="67">
        <f t="shared" si="1"/>
        <v>631.89032896667584</v>
      </c>
    </row>
    <row r="19" spans="1:8" x14ac:dyDescent="0.3">
      <c r="A19" s="30" t="s">
        <v>38</v>
      </c>
      <c r="B19" s="31">
        <v>6.9459999999999994E-2</v>
      </c>
      <c r="C19" s="32">
        <v>638.45316666666656</v>
      </c>
      <c r="D19" s="33">
        <f>SUM(H11*B19/12)</f>
        <v>147.07226793819098</v>
      </c>
      <c r="E19" s="32">
        <f t="shared" si="0"/>
        <v>785.52543460485754</v>
      </c>
      <c r="F19" s="33">
        <f>SUM(I11*B19/12)</f>
        <v>102.95058755673369</v>
      </c>
      <c r="G19" s="67">
        <f t="shared" si="1"/>
        <v>741.40375422340026</v>
      </c>
    </row>
    <row r="20" spans="1:8" ht="16.2" thickBot="1" x14ac:dyDescent="0.35"/>
    <row r="21" spans="1:8" x14ac:dyDescent="0.3">
      <c r="A21" s="160" t="s">
        <v>91</v>
      </c>
      <c r="B21" s="161"/>
      <c r="C21" s="161"/>
      <c r="D21" s="161"/>
      <c r="E21" s="161"/>
      <c r="F21" s="161"/>
      <c r="G21" s="161"/>
      <c r="H21" s="162"/>
    </row>
    <row r="22" spans="1:8" ht="16.2" thickBot="1" x14ac:dyDescent="0.35">
      <c r="A22" s="163"/>
      <c r="B22" s="164"/>
      <c r="C22" s="164"/>
      <c r="D22" s="164"/>
      <c r="E22" s="164"/>
      <c r="F22" s="164"/>
      <c r="G22" s="164"/>
      <c r="H22" s="165"/>
    </row>
  </sheetData>
  <mergeCells count="2">
    <mergeCell ref="A2:H2"/>
    <mergeCell ref="A21:H22"/>
  </mergeCells>
  <pageMargins left="0.2" right="0.2" top="0.75" bottom="0.4" header="0.3" footer="0.3"/>
  <pageSetup scale="75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"/>
  <sheetViews>
    <sheetView workbookViewId="0">
      <selection activeCell="D8" sqref="A2:D8"/>
    </sheetView>
  </sheetViews>
  <sheetFormatPr defaultColWidth="8.796875" defaultRowHeight="15.6" x14ac:dyDescent="0.3"/>
  <cols>
    <col min="1" max="1" width="30.296875" customWidth="1"/>
    <col min="2" max="2" width="9.09765625" bestFit="1" customWidth="1"/>
    <col min="3" max="3" width="14.796875" bestFit="1" customWidth="1"/>
    <col min="4" max="4" width="10.796875" customWidth="1"/>
    <col min="5" max="5" width="13.59765625" bestFit="1" customWidth="1"/>
    <col min="6" max="6" width="11.59765625" customWidth="1"/>
    <col min="7" max="7" width="21" bestFit="1" customWidth="1"/>
    <col min="8" max="8" width="40.09765625" bestFit="1" customWidth="1"/>
    <col min="9" max="9" width="14.59765625" customWidth="1"/>
    <col min="10" max="10" width="15" bestFit="1" customWidth="1"/>
  </cols>
  <sheetData>
    <row r="1" spans="1:4" x14ac:dyDescent="0.3">
      <c r="A1" s="166"/>
      <c r="B1" s="166"/>
      <c r="C1" s="166"/>
      <c r="D1" s="166"/>
    </row>
    <row r="2" spans="1:4" ht="55.8" x14ac:dyDescent="0.3">
      <c r="A2" s="25" t="s">
        <v>41</v>
      </c>
      <c r="B2" s="26" t="s">
        <v>65</v>
      </c>
      <c r="C2" s="27" t="s">
        <v>93</v>
      </c>
      <c r="D2" s="34" t="s">
        <v>94</v>
      </c>
    </row>
    <row r="3" spans="1:4" x14ac:dyDescent="0.3">
      <c r="A3" s="30" t="s">
        <v>33</v>
      </c>
      <c r="B3" s="31">
        <v>5.1139999999999998E-2</v>
      </c>
      <c r="C3" s="32">
        <f>SUM(6000*B3)</f>
        <v>306.83999999999997</v>
      </c>
      <c r="D3" s="35">
        <f t="shared" ref="D3:D8" si="0">SUM(C3/2)</f>
        <v>153.41999999999999</v>
      </c>
    </row>
    <row r="4" spans="1:4" x14ac:dyDescent="0.3">
      <c r="A4" s="30" t="s">
        <v>34</v>
      </c>
      <c r="B4" s="31">
        <v>5.679E-2</v>
      </c>
      <c r="C4" s="32">
        <f>6000*B4</f>
        <v>340.74</v>
      </c>
      <c r="D4" s="35">
        <f t="shared" si="0"/>
        <v>170.37</v>
      </c>
    </row>
    <row r="5" spans="1:4" x14ac:dyDescent="0.3">
      <c r="A5" s="30" t="s">
        <v>35</v>
      </c>
      <c r="B5" s="31">
        <v>5.5509999999999997E-2</v>
      </c>
      <c r="C5" s="32">
        <f>6000*B5</f>
        <v>333.06</v>
      </c>
      <c r="D5" s="35">
        <f t="shared" si="0"/>
        <v>166.53</v>
      </c>
    </row>
    <row r="6" spans="1:4" x14ac:dyDescent="0.3">
      <c r="A6" s="30" t="s">
        <v>36</v>
      </c>
      <c r="B6" s="31">
        <v>5.7230000000000003E-2</v>
      </c>
      <c r="C6" s="32">
        <f>6000*B6</f>
        <v>343.38</v>
      </c>
      <c r="D6" s="35">
        <f t="shared" si="0"/>
        <v>171.69</v>
      </c>
    </row>
    <row r="7" spans="1:4" x14ac:dyDescent="0.3">
      <c r="A7" s="30" t="s">
        <v>92</v>
      </c>
      <c r="B7" s="31">
        <v>5.9200000000000003E-2</v>
      </c>
      <c r="C7" s="32">
        <f>6000*B7</f>
        <v>355.2</v>
      </c>
      <c r="D7" s="35">
        <f t="shared" si="0"/>
        <v>177.6</v>
      </c>
    </row>
    <row r="8" spans="1:4" x14ac:dyDescent="0.3">
      <c r="A8" s="30" t="s">
        <v>38</v>
      </c>
      <c r="B8" s="31">
        <v>6.9459999999999994E-2</v>
      </c>
      <c r="C8" s="32">
        <f>6000*B8</f>
        <v>416.76</v>
      </c>
      <c r="D8" s="35">
        <f t="shared" si="0"/>
        <v>208.38</v>
      </c>
    </row>
  </sheetData>
  <mergeCells count="1">
    <mergeCell ref="A1:D1"/>
  </mergeCells>
  <pageMargins left="0.2" right="0.2" top="0.75" bottom="0.4" header="0.3" footer="0.3"/>
  <pageSetup scale="75" orientation="landscape" r:id="rId1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9"/>
  <sheetViews>
    <sheetView view="pageBreakPreview" topLeftCell="A24" zoomScale="40" zoomScaleSheetLayoutView="40" workbookViewId="0">
      <selection activeCell="D10" sqref="D10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24.6" x14ac:dyDescent="0.4">
      <c r="A1" s="157" t="s">
        <v>97</v>
      </c>
      <c r="B1" s="157"/>
      <c r="C1" s="157"/>
      <c r="D1" s="157"/>
    </row>
    <row r="2" spans="1:9" ht="54" customHeight="1" x14ac:dyDescent="0.4">
      <c r="A2" s="158" t="s">
        <v>98</v>
      </c>
      <c r="B2" s="158"/>
      <c r="C2" s="158"/>
      <c r="D2" s="158"/>
    </row>
    <row r="3" spans="1:9" ht="57" customHeight="1" x14ac:dyDescent="0.4">
      <c r="B3" s="38" t="s">
        <v>99</v>
      </c>
      <c r="C3" s="38" t="s">
        <v>54</v>
      </c>
      <c r="D3" s="38" t="s">
        <v>99</v>
      </c>
    </row>
    <row r="4" spans="1:9" ht="25.5" customHeight="1" x14ac:dyDescent="0.4">
      <c r="B4" s="39">
        <v>2016</v>
      </c>
      <c r="C4" s="38" t="s">
        <v>100</v>
      </c>
      <c r="D4" s="39" t="s">
        <v>101</v>
      </c>
      <c r="I4" s="36"/>
    </row>
    <row r="5" spans="1:9" ht="25.5" customHeight="1" x14ac:dyDescent="0.4">
      <c r="A5" s="40" t="s">
        <v>56</v>
      </c>
      <c r="I5" s="36"/>
    </row>
    <row r="6" spans="1:9" ht="25.5" customHeight="1" x14ac:dyDescent="0.4">
      <c r="A6" s="36" t="s">
        <v>57</v>
      </c>
      <c r="B6" s="41">
        <v>109850</v>
      </c>
      <c r="C6" s="41">
        <v>112000</v>
      </c>
      <c r="D6" s="41">
        <v>109850</v>
      </c>
      <c r="I6" s="36"/>
    </row>
    <row r="7" spans="1:9" ht="25.5" customHeight="1" x14ac:dyDescent="0.4">
      <c r="A7" s="36" t="s">
        <v>58</v>
      </c>
      <c r="B7" s="41">
        <v>150</v>
      </c>
      <c r="C7" s="41">
        <v>150</v>
      </c>
      <c r="D7" s="41">
        <v>150</v>
      </c>
      <c r="I7" s="36"/>
    </row>
    <row r="8" spans="1:9" ht="25.5" customHeight="1" x14ac:dyDescent="0.4">
      <c r="A8" s="36" t="s">
        <v>59</v>
      </c>
      <c r="B8" s="56">
        <v>300</v>
      </c>
      <c r="C8" s="56">
        <v>110</v>
      </c>
      <c r="D8" s="56">
        <v>300</v>
      </c>
      <c r="I8" s="36"/>
    </row>
    <row r="9" spans="1:9" ht="25.5" customHeight="1" x14ac:dyDescent="0.4">
      <c r="A9" s="40" t="s">
        <v>60</v>
      </c>
      <c r="B9" s="38">
        <f>SUM(B6:B8)</f>
        <v>110300</v>
      </c>
      <c r="C9" s="38">
        <f>SUM(C6:C8)</f>
        <v>112260</v>
      </c>
      <c r="D9" s="38">
        <f>SUM(D6:D8)</f>
        <v>110300</v>
      </c>
      <c r="I9" s="36"/>
    </row>
    <row r="10" spans="1:9" ht="25.5" customHeight="1" x14ac:dyDescent="0.4">
      <c r="A10" s="43" t="s">
        <v>102</v>
      </c>
      <c r="I10" s="36"/>
    </row>
    <row r="11" spans="1:9" ht="25.5" customHeight="1" x14ac:dyDescent="0.4">
      <c r="A11" s="43" t="s">
        <v>103</v>
      </c>
      <c r="I11" s="36"/>
    </row>
    <row r="12" spans="1:9" ht="25.5" customHeight="1" x14ac:dyDescent="0.4">
      <c r="A12" s="36" t="s">
        <v>1</v>
      </c>
      <c r="B12" s="41">
        <v>500</v>
      </c>
      <c r="C12" s="41">
        <v>230</v>
      </c>
      <c r="D12" s="41">
        <v>400</v>
      </c>
      <c r="I12" s="36"/>
    </row>
    <row r="13" spans="1:9" ht="25.5" customHeight="1" x14ac:dyDescent="0.4">
      <c r="A13" s="36" t="s">
        <v>2</v>
      </c>
      <c r="B13" s="41">
        <v>90</v>
      </c>
      <c r="C13" s="41">
        <v>100</v>
      </c>
      <c r="D13" s="41">
        <v>110</v>
      </c>
      <c r="I13" s="36"/>
    </row>
    <row r="14" spans="1:9" ht="25.5" customHeight="1" x14ac:dyDescent="0.4">
      <c r="A14" s="36" t="s">
        <v>63</v>
      </c>
      <c r="B14" s="41">
        <v>300</v>
      </c>
      <c r="C14" s="41">
        <v>0</v>
      </c>
      <c r="D14" s="41">
        <v>0</v>
      </c>
      <c r="I14" s="36"/>
    </row>
    <row r="15" spans="1:9" ht="25.5" customHeight="1" x14ac:dyDescent="0.4">
      <c r="A15" s="36" t="s">
        <v>21</v>
      </c>
      <c r="B15" s="41">
        <v>3600</v>
      </c>
      <c r="C15" s="41">
        <v>3000</v>
      </c>
      <c r="D15" s="41">
        <v>3600</v>
      </c>
      <c r="I15" s="36"/>
    </row>
    <row r="16" spans="1:9" ht="25.5" customHeight="1" x14ac:dyDescent="0.4">
      <c r="A16" s="36" t="s">
        <v>16</v>
      </c>
      <c r="B16" s="41">
        <v>0</v>
      </c>
      <c r="C16" s="41">
        <v>40</v>
      </c>
      <c r="D16" s="41">
        <v>50</v>
      </c>
      <c r="I16" s="36"/>
    </row>
    <row r="17" spans="1:9" ht="25.5" customHeight="1" x14ac:dyDescent="0.4">
      <c r="A17" s="36" t="s">
        <v>17</v>
      </c>
      <c r="B17" s="41">
        <v>400</v>
      </c>
      <c r="C17" s="41">
        <v>400</v>
      </c>
      <c r="D17" s="41">
        <v>400</v>
      </c>
      <c r="I17" s="36"/>
    </row>
    <row r="18" spans="1:9" ht="25.5" customHeight="1" x14ac:dyDescent="0.4">
      <c r="A18" s="36" t="s">
        <v>64</v>
      </c>
      <c r="B18" s="56">
        <v>1200</v>
      </c>
      <c r="C18" s="56">
        <v>2000</v>
      </c>
      <c r="D18" s="56">
        <v>2000</v>
      </c>
      <c r="I18" s="36"/>
    </row>
    <row r="19" spans="1:9" ht="25.5" customHeight="1" x14ac:dyDescent="0.4">
      <c r="A19" s="43" t="s">
        <v>109</v>
      </c>
      <c r="B19" s="38">
        <f>SUM(B12:B18)</f>
        <v>6090</v>
      </c>
      <c r="C19" s="38">
        <f>SUM(C12:C18)</f>
        <v>5770</v>
      </c>
      <c r="D19" s="38">
        <f>SUM(D12:D18)</f>
        <v>6560</v>
      </c>
      <c r="I19" s="36"/>
    </row>
    <row r="20" spans="1:9" ht="25.5" customHeight="1" x14ac:dyDescent="0.4">
      <c r="A20" s="43" t="s">
        <v>104</v>
      </c>
      <c r="I20" s="36"/>
    </row>
    <row r="21" spans="1:9" ht="25.5" customHeight="1" x14ac:dyDescent="0.4">
      <c r="A21" s="36" t="s">
        <v>3</v>
      </c>
      <c r="B21" s="41">
        <v>8000</v>
      </c>
      <c r="C21" s="41">
        <v>13000</v>
      </c>
      <c r="D21" s="41">
        <v>13000</v>
      </c>
      <c r="I21" s="36"/>
    </row>
    <row r="22" spans="1:9" ht="25.5" customHeight="1" x14ac:dyDescent="0.4">
      <c r="A22" s="36" t="s">
        <v>8</v>
      </c>
      <c r="B22" s="41">
        <v>8400</v>
      </c>
      <c r="C22" s="41">
        <v>8000</v>
      </c>
      <c r="D22" s="41">
        <v>8400</v>
      </c>
      <c r="I22" s="36"/>
    </row>
    <row r="23" spans="1:9" ht="25.5" customHeight="1" x14ac:dyDescent="0.4">
      <c r="A23" s="36" t="s">
        <v>9</v>
      </c>
      <c r="B23" s="41">
        <v>0</v>
      </c>
      <c r="C23" s="41">
        <v>0</v>
      </c>
      <c r="D23" s="41">
        <v>1000</v>
      </c>
      <c r="I23" s="36"/>
    </row>
    <row r="24" spans="1:9" ht="25.5" customHeight="1" x14ac:dyDescent="0.4">
      <c r="A24" s="36" t="s">
        <v>11</v>
      </c>
      <c r="B24" s="41">
        <v>450</v>
      </c>
      <c r="C24" s="41">
        <v>0</v>
      </c>
      <c r="D24" s="41">
        <v>0</v>
      </c>
      <c r="I24" s="36"/>
    </row>
    <row r="25" spans="1:9" ht="25.5" customHeight="1" x14ac:dyDescent="0.4">
      <c r="A25" s="36" t="s">
        <v>66</v>
      </c>
      <c r="B25" s="41">
        <v>2000</v>
      </c>
      <c r="C25" s="41">
        <v>6200</v>
      </c>
      <c r="D25" s="41">
        <v>2000</v>
      </c>
      <c r="I25" s="36"/>
    </row>
    <row r="26" spans="1:9" ht="25.5" customHeight="1" x14ac:dyDescent="0.4">
      <c r="A26" s="36" t="s">
        <v>4</v>
      </c>
      <c r="B26" s="41">
        <v>3500</v>
      </c>
      <c r="C26" s="41">
        <v>2000</v>
      </c>
      <c r="D26" s="41">
        <v>2200</v>
      </c>
      <c r="I26" s="36"/>
    </row>
    <row r="27" spans="1:9" ht="25.5" customHeight="1" x14ac:dyDescent="0.4">
      <c r="A27" s="36" t="s">
        <v>5</v>
      </c>
      <c r="B27" s="41">
        <v>7000</v>
      </c>
      <c r="C27" s="41">
        <v>11000</v>
      </c>
      <c r="D27" s="41">
        <v>10000</v>
      </c>
      <c r="I27" s="36"/>
    </row>
    <row r="28" spans="1:9" ht="25.5" customHeight="1" x14ac:dyDescent="0.4">
      <c r="A28" s="36" t="s">
        <v>105</v>
      </c>
      <c r="B28" s="56">
        <v>0</v>
      </c>
      <c r="C28" s="56">
        <v>2000</v>
      </c>
      <c r="D28" s="56">
        <v>1500</v>
      </c>
      <c r="I28" s="36"/>
    </row>
    <row r="29" spans="1:9" ht="25.5" customHeight="1" x14ac:dyDescent="0.4">
      <c r="A29" s="43" t="s">
        <v>110</v>
      </c>
      <c r="B29" s="38">
        <f>SUM(B21:B28)</f>
        <v>29350</v>
      </c>
      <c r="C29" s="38">
        <f>SUM(C21:C28)</f>
        <v>42200</v>
      </c>
      <c r="D29" s="38">
        <f>SUM(D21:D28)</f>
        <v>38100</v>
      </c>
      <c r="I29" s="36"/>
    </row>
    <row r="30" spans="1:9" ht="25.5" customHeight="1" x14ac:dyDescent="0.4">
      <c r="A30" s="43" t="s">
        <v>106</v>
      </c>
      <c r="I30" s="36"/>
    </row>
    <row r="31" spans="1:9" ht="25.5" customHeight="1" x14ac:dyDescent="0.4">
      <c r="A31" s="36" t="s">
        <v>6</v>
      </c>
      <c r="B31" s="41">
        <v>8000</v>
      </c>
      <c r="C31" s="41">
        <v>7500</v>
      </c>
      <c r="D31" s="41">
        <v>8000</v>
      </c>
      <c r="I31" s="36"/>
    </row>
    <row r="32" spans="1:9" ht="25.5" customHeight="1" x14ac:dyDescent="0.4">
      <c r="A32" s="36" t="s">
        <v>114</v>
      </c>
      <c r="B32" s="41">
        <v>0</v>
      </c>
      <c r="C32" s="41">
        <v>100</v>
      </c>
      <c r="D32" s="41">
        <v>100</v>
      </c>
      <c r="I32" s="36"/>
    </row>
    <row r="33" spans="1:11" ht="25.5" customHeight="1" x14ac:dyDescent="0.4">
      <c r="A33" s="36" t="s">
        <v>61</v>
      </c>
      <c r="B33" s="41">
        <v>2000</v>
      </c>
      <c r="C33" s="41">
        <v>1600</v>
      </c>
      <c r="D33" s="41">
        <v>2000</v>
      </c>
      <c r="I33" s="36"/>
    </row>
    <row r="34" spans="1:11" ht="25.5" customHeight="1" x14ac:dyDescent="0.4">
      <c r="A34" s="36" t="s">
        <v>15</v>
      </c>
      <c r="B34" s="41">
        <f>1500</f>
        <v>1500</v>
      </c>
      <c r="C34" s="41">
        <v>2000</v>
      </c>
      <c r="D34" s="41">
        <v>2200</v>
      </c>
      <c r="I34" s="36"/>
    </row>
    <row r="35" spans="1:11" ht="25.5" customHeight="1" x14ac:dyDescent="0.4">
      <c r="A35" s="36" t="s">
        <v>62</v>
      </c>
      <c r="B35" s="56">
        <v>2500</v>
      </c>
      <c r="C35" s="56">
        <v>0</v>
      </c>
      <c r="D35" s="56">
        <v>1500</v>
      </c>
      <c r="I35" s="36"/>
    </row>
    <row r="36" spans="1:11" ht="25.5" customHeight="1" x14ac:dyDescent="0.4">
      <c r="A36" s="43" t="s">
        <v>111</v>
      </c>
      <c r="B36" s="38">
        <f>SUM(B31:B35)</f>
        <v>14000</v>
      </c>
      <c r="C36" s="38">
        <f>SUM(C31:C35)</f>
        <v>11200</v>
      </c>
      <c r="D36" s="38">
        <f>SUM(D31:D35)</f>
        <v>13800</v>
      </c>
      <c r="I36" s="36"/>
    </row>
    <row r="37" spans="1:11" ht="25.5" customHeight="1" x14ac:dyDescent="0.4">
      <c r="A37" s="43" t="s">
        <v>107</v>
      </c>
      <c r="I37" s="36"/>
    </row>
    <row r="38" spans="1:11" ht="25.5" customHeight="1" x14ac:dyDescent="0.4">
      <c r="A38" s="36" t="s">
        <v>12</v>
      </c>
      <c r="B38" s="41">
        <v>9000</v>
      </c>
      <c r="C38" s="41">
        <v>9000</v>
      </c>
      <c r="D38" s="41">
        <v>9200</v>
      </c>
      <c r="I38" s="36"/>
    </row>
    <row r="39" spans="1:11" ht="25.5" customHeight="1" x14ac:dyDescent="0.4">
      <c r="A39" s="36" t="s">
        <v>13</v>
      </c>
      <c r="B39" s="41">
        <v>10500</v>
      </c>
      <c r="C39" s="41">
        <v>8000</v>
      </c>
      <c r="D39" s="41">
        <v>8200</v>
      </c>
      <c r="I39" s="36"/>
    </row>
    <row r="40" spans="1:11" ht="25.5" customHeight="1" x14ac:dyDescent="0.4">
      <c r="A40" s="36" t="s">
        <v>14</v>
      </c>
      <c r="B40" s="56">
        <f>280*12</f>
        <v>3360</v>
      </c>
      <c r="C40" s="56">
        <v>4000</v>
      </c>
      <c r="D40" s="56">
        <v>4200</v>
      </c>
      <c r="I40" s="36"/>
    </row>
    <row r="41" spans="1:11" ht="25.5" customHeight="1" x14ac:dyDescent="0.4">
      <c r="A41" s="43" t="s">
        <v>112</v>
      </c>
      <c r="B41" s="38">
        <f>SUM(B38:B40)</f>
        <v>22860</v>
      </c>
      <c r="C41" s="38">
        <f>SUM(C38:C40)</f>
        <v>21000</v>
      </c>
      <c r="D41" s="38">
        <f>SUM(D38:D40)</f>
        <v>21600</v>
      </c>
      <c r="I41" s="36"/>
    </row>
    <row r="42" spans="1:11" ht="25.5" customHeight="1" x14ac:dyDescent="0.4">
      <c r="A42" s="43" t="s">
        <v>108</v>
      </c>
      <c r="I42" s="36"/>
    </row>
    <row r="43" spans="1:11" ht="25.5" customHeight="1" x14ac:dyDescent="0.4">
      <c r="A43" s="36" t="s">
        <v>115</v>
      </c>
      <c r="B43" s="41">
        <v>38000</v>
      </c>
      <c r="C43" s="41">
        <v>30000</v>
      </c>
      <c r="D43" s="41">
        <v>30240</v>
      </c>
      <c r="I43" s="36"/>
    </row>
    <row r="44" spans="1:11" ht="25.5" customHeight="1" x14ac:dyDescent="0.4">
      <c r="A44" s="43" t="s">
        <v>113</v>
      </c>
      <c r="B44" s="38">
        <f>SUM(B43:B43)</f>
        <v>38000</v>
      </c>
      <c r="C44" s="38">
        <f>SUM(C43:C43)</f>
        <v>30000</v>
      </c>
      <c r="D44" s="38">
        <f>SUM(D43:D43)</f>
        <v>30240</v>
      </c>
      <c r="I44" s="36"/>
    </row>
    <row r="45" spans="1:11" ht="25.5" customHeight="1" x14ac:dyDescent="0.4">
      <c r="A45" s="43" t="s">
        <v>23</v>
      </c>
      <c r="B45" s="38">
        <f>SUM(B44+B41+B36+B29++B19)</f>
        <v>110300</v>
      </c>
      <c r="C45" s="38">
        <f>SUM(C44+C41+C36+C29++C19)</f>
        <v>110170</v>
      </c>
      <c r="D45" s="38">
        <f>SUM(D44+D41+D36+D29++D19)</f>
        <v>110300</v>
      </c>
      <c r="I45" s="36"/>
    </row>
    <row r="47" spans="1:11" s="48" customFormat="1" ht="49.8" x14ac:dyDescent="0.45">
      <c r="A47" s="44" t="s">
        <v>41</v>
      </c>
      <c r="B47" s="45" t="s">
        <v>65</v>
      </c>
      <c r="C47" s="46" t="s">
        <v>123</v>
      </c>
      <c r="D47" s="47"/>
      <c r="G47" s="49"/>
      <c r="H47" s="50"/>
      <c r="I47" s="49"/>
      <c r="J47" s="49"/>
      <c r="K47" s="49"/>
    </row>
    <row r="48" spans="1:11" s="48" customFormat="1" ht="36" customHeight="1" x14ac:dyDescent="0.45">
      <c r="A48" s="51" t="s">
        <v>33</v>
      </c>
      <c r="B48" s="52">
        <v>5.1139999999999998E-2</v>
      </c>
      <c r="C48" s="50">
        <v>578.3439494053041</v>
      </c>
      <c r="D48" s="47"/>
      <c r="E48" s="57">
        <f>SUM(D6*B48)/12</f>
        <v>468.1440833333333</v>
      </c>
      <c r="F48" s="57">
        <f>SUM(E48*6)*12</f>
        <v>33706.373999999996</v>
      </c>
      <c r="G48" s="47"/>
      <c r="H48" s="50">
        <f>SUM(C48*6*12)</f>
        <v>41640.764357181892</v>
      </c>
      <c r="I48" s="47"/>
      <c r="J48" s="47"/>
      <c r="K48" s="47"/>
    </row>
    <row r="49" spans="1:11" s="48" customFormat="1" ht="36" customHeight="1" x14ac:dyDescent="0.45">
      <c r="A49" s="51" t="s">
        <v>34</v>
      </c>
      <c r="B49" s="52">
        <v>5.679E-2</v>
      </c>
      <c r="C49" s="50">
        <v>642.23998605254633</v>
      </c>
      <c r="D49" s="47"/>
      <c r="E49" s="57">
        <f>SUM(D6*B49)/12</f>
        <v>519.86512500000003</v>
      </c>
      <c r="F49" s="57">
        <f>SUM(E49*6*12)</f>
        <v>37430.289000000004</v>
      </c>
      <c r="G49" s="47"/>
      <c r="H49" s="50">
        <f>SUM(C49*6*12)</f>
        <v>46241.278995783337</v>
      </c>
      <c r="I49" s="47"/>
      <c r="J49" s="47"/>
      <c r="K49" s="47"/>
    </row>
    <row r="50" spans="1:11" s="48" customFormat="1" ht="36" customHeight="1" x14ac:dyDescent="0.45">
      <c r="A50" s="51" t="s">
        <v>35</v>
      </c>
      <c r="B50" s="52">
        <v>5.5509999999999997E-2</v>
      </c>
      <c r="C50" s="50">
        <v>627.76442376786133</v>
      </c>
      <c r="D50" s="47"/>
      <c r="E50" s="57">
        <f>SUM(D6*B50)/12</f>
        <v>508.14779166666659</v>
      </c>
      <c r="F50" s="57">
        <f>SUM(E50*3*12)</f>
        <v>18293.320499999998</v>
      </c>
      <c r="G50" s="47"/>
      <c r="H50" s="50">
        <f>SUM(C50*3*12)</f>
        <v>22599.519255643005</v>
      </c>
      <c r="I50" s="47"/>
      <c r="J50" s="47"/>
      <c r="K50" s="47"/>
    </row>
    <row r="51" spans="1:11" s="48" customFormat="1" ht="36" customHeight="1" x14ac:dyDescent="0.45">
      <c r="A51" s="53" t="s">
        <v>36</v>
      </c>
      <c r="B51" s="52">
        <v>5.7230000000000003E-2</v>
      </c>
      <c r="C51" s="50">
        <v>647.21596058790681</v>
      </c>
      <c r="D51" s="47"/>
      <c r="E51" s="57">
        <f>SUM(D6*B51)/12</f>
        <v>523.89295833333335</v>
      </c>
      <c r="F51" s="57">
        <f>SUM(E51*1*12)</f>
        <v>6286.7155000000002</v>
      </c>
      <c r="G51" s="47"/>
      <c r="H51" s="50">
        <f>SUM(C51*1*12)</f>
        <v>7766.5915270548812</v>
      </c>
      <c r="I51" s="47"/>
      <c r="J51" s="47"/>
      <c r="K51" s="47"/>
    </row>
    <row r="52" spans="1:11" s="48" customFormat="1" ht="36" customHeight="1" x14ac:dyDescent="0.45">
      <c r="A52" s="53" t="s">
        <v>92</v>
      </c>
      <c r="B52" s="52">
        <v>5.9200000000000003E-2</v>
      </c>
      <c r="C52" s="50">
        <v>669.49475566667968</v>
      </c>
      <c r="D52" s="47"/>
      <c r="E52" s="57">
        <f>SUM(D6*B52)/12</f>
        <v>541.92666666666662</v>
      </c>
      <c r="F52" s="57">
        <f>SUM(E52*12)</f>
        <v>6503.119999999999</v>
      </c>
      <c r="G52" s="47"/>
      <c r="H52" s="50">
        <f>SUM(C52*12)</f>
        <v>8033.9370680001557</v>
      </c>
      <c r="I52" s="47"/>
      <c r="J52" s="47"/>
      <c r="K52" s="47"/>
    </row>
    <row r="53" spans="1:11" s="48" customFormat="1" ht="36" customHeight="1" x14ac:dyDescent="0.45">
      <c r="A53" s="53" t="s">
        <v>38</v>
      </c>
      <c r="B53" s="52">
        <v>6.9459999999999994E-2</v>
      </c>
      <c r="C53" s="50">
        <v>785.52543460485754</v>
      </c>
      <c r="D53" s="47"/>
      <c r="E53" s="57">
        <f>SUM(D6*B53)/12</f>
        <v>635.84841666666659</v>
      </c>
      <c r="F53" s="57">
        <f>SUM(E53*12)</f>
        <v>7630.1809999999987</v>
      </c>
      <c r="G53" s="47"/>
      <c r="H53" s="50">
        <f>SUM(C53*12)</f>
        <v>9426.3052152582895</v>
      </c>
      <c r="I53" s="47"/>
      <c r="J53" s="47"/>
      <c r="K53" s="47"/>
    </row>
    <row r="54" spans="1:11" x14ac:dyDescent="0.4">
      <c r="B54" s="37"/>
      <c r="F54" s="58">
        <f>SUM(F48:F53)</f>
        <v>109850</v>
      </c>
      <c r="H54" s="41">
        <f>SUM(H48:H53)</f>
        <v>135708.39641892159</v>
      </c>
    </row>
    <row r="55" spans="1:11" x14ac:dyDescent="0.4">
      <c r="I55" s="41"/>
    </row>
    <row r="59" spans="1:11" x14ac:dyDescent="0.4">
      <c r="I59" s="41"/>
    </row>
  </sheetData>
  <mergeCells count="2">
    <mergeCell ref="A1:D1"/>
    <mergeCell ref="A2:D2"/>
  </mergeCells>
  <phoneticPr fontId="4" type="noConversion"/>
  <pageMargins left="0.75" right="0.75" top="0.48" bottom="0.53" header="0.5" footer="0.5"/>
  <pageSetup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2"/>
  <sheetViews>
    <sheetView topLeftCell="A4" workbookViewId="0">
      <selection activeCell="C14" sqref="C14"/>
    </sheetView>
  </sheetViews>
  <sheetFormatPr defaultColWidth="8.796875" defaultRowHeight="15.6" x14ac:dyDescent="0.3"/>
  <cols>
    <col min="1" max="1" width="30.296875" customWidth="1"/>
    <col min="2" max="2" width="10.59765625" customWidth="1"/>
    <col min="3" max="3" width="14.796875" bestFit="1" customWidth="1"/>
    <col min="4" max="4" width="12" customWidth="1"/>
    <col min="5" max="5" width="13.59765625" bestFit="1" customWidth="1"/>
    <col min="6" max="6" width="11.796875" customWidth="1"/>
    <col min="7" max="7" width="20" bestFit="1" customWidth="1"/>
    <col min="8" max="8" width="16.296875" customWidth="1"/>
    <col min="9" max="9" width="14.59765625" customWidth="1"/>
    <col min="10" max="10" width="15" bestFit="1" customWidth="1"/>
  </cols>
  <sheetData>
    <row r="2" spans="1:11" x14ac:dyDescent="0.3">
      <c r="A2" s="159" t="s">
        <v>116</v>
      </c>
      <c r="B2" s="159"/>
      <c r="C2" s="159"/>
      <c r="D2" s="159"/>
      <c r="E2" s="159"/>
      <c r="F2" s="159"/>
      <c r="G2" s="159"/>
      <c r="H2" s="159"/>
      <c r="I2" s="159"/>
    </row>
    <row r="3" spans="1:11" x14ac:dyDescent="0.3">
      <c r="A3" s="167" t="s">
        <v>69</v>
      </c>
      <c r="B3" s="14" t="s">
        <v>54</v>
      </c>
      <c r="C3" s="14" t="s">
        <v>54</v>
      </c>
      <c r="D3" s="14" t="s">
        <v>70</v>
      </c>
      <c r="E3" s="14" t="s">
        <v>71</v>
      </c>
      <c r="F3" s="14" t="s">
        <v>72</v>
      </c>
      <c r="G3" s="14" t="s">
        <v>73</v>
      </c>
      <c r="H3" s="14" t="s">
        <v>74</v>
      </c>
      <c r="I3" s="167" t="s">
        <v>117</v>
      </c>
      <c r="J3" s="167" t="s">
        <v>117</v>
      </c>
    </row>
    <row r="4" spans="1:11" x14ac:dyDescent="0.3">
      <c r="A4" s="168"/>
      <c r="B4" s="14" t="s">
        <v>75</v>
      </c>
      <c r="C4" s="14" t="s">
        <v>76</v>
      </c>
      <c r="D4" s="14" t="s">
        <v>77</v>
      </c>
      <c r="E4" s="14" t="s">
        <v>25</v>
      </c>
      <c r="F4" s="14" t="s">
        <v>78</v>
      </c>
      <c r="G4" s="14" t="s">
        <v>74</v>
      </c>
      <c r="H4" s="14" t="s">
        <v>117</v>
      </c>
      <c r="I4" s="168"/>
      <c r="J4" s="168"/>
    </row>
    <row r="5" spans="1:11" ht="28.8" x14ac:dyDescent="0.3">
      <c r="A5" s="14"/>
      <c r="B5" s="14"/>
      <c r="C5" s="14"/>
      <c r="D5" s="14" t="s">
        <v>80</v>
      </c>
      <c r="E5" s="16">
        <v>42735</v>
      </c>
      <c r="F5" s="14" t="s">
        <v>81</v>
      </c>
      <c r="G5" s="14" t="s">
        <v>82</v>
      </c>
      <c r="H5" s="14" t="s">
        <v>83</v>
      </c>
      <c r="I5" s="17" t="s">
        <v>118</v>
      </c>
      <c r="J5" s="17" t="s">
        <v>84</v>
      </c>
      <c r="K5">
        <f>1826.58*4</f>
        <v>7306.32</v>
      </c>
    </row>
    <row r="6" spans="1:11" x14ac:dyDescent="0.3">
      <c r="A6" s="15" t="s">
        <v>27</v>
      </c>
      <c r="B6" s="18">
        <v>7</v>
      </c>
      <c r="C6" s="19">
        <v>40000</v>
      </c>
      <c r="D6" s="20">
        <v>0.3</v>
      </c>
      <c r="E6" s="21">
        <f>SUM(E11*D6)</f>
        <v>11416.8</v>
      </c>
      <c r="F6" s="18">
        <v>2</v>
      </c>
      <c r="G6" s="21">
        <f>C6-E6</f>
        <v>28583.200000000001</v>
      </c>
      <c r="H6" s="21">
        <f>SUM(G6/F6)</f>
        <v>14291.6</v>
      </c>
      <c r="I6" s="21">
        <f>SUM(H6*0.5)</f>
        <v>7145.8</v>
      </c>
      <c r="J6" s="21">
        <f>SUM(G6*0.7)/2</f>
        <v>10004.119999999999</v>
      </c>
      <c r="K6">
        <f>9140.41</f>
        <v>9140.41</v>
      </c>
    </row>
    <row r="7" spans="1:11" x14ac:dyDescent="0.3">
      <c r="A7" s="15" t="s">
        <v>26</v>
      </c>
      <c r="B7" s="18">
        <v>20</v>
      </c>
      <c r="C7" s="19">
        <v>80000</v>
      </c>
      <c r="D7" s="20">
        <v>0.4</v>
      </c>
      <c r="E7" s="21">
        <f>SUM(E11*D7)</f>
        <v>15222.400000000001</v>
      </c>
      <c r="F7" s="18">
        <v>16</v>
      </c>
      <c r="G7" s="21">
        <f>C7-E7</f>
        <v>64777.599999999999</v>
      </c>
      <c r="H7" s="21">
        <f>SUM(G7/F7)</f>
        <v>4048.6</v>
      </c>
      <c r="I7" s="21">
        <f>SUM(H7*0.5)</f>
        <v>2024.3</v>
      </c>
      <c r="J7" s="21">
        <f>SUM(G7*0.7)/F7</f>
        <v>2834.02</v>
      </c>
      <c r="K7">
        <v>7697.94</v>
      </c>
    </row>
    <row r="8" spans="1:11" x14ac:dyDescent="0.3">
      <c r="A8" s="15" t="s">
        <v>85</v>
      </c>
      <c r="B8" s="18">
        <v>15</v>
      </c>
      <c r="C8" s="19">
        <v>60000</v>
      </c>
      <c r="D8" s="20">
        <v>0.05</v>
      </c>
      <c r="E8" s="21">
        <f>SUM(E11*D8)</f>
        <v>1902.8000000000002</v>
      </c>
      <c r="F8" s="18">
        <v>9</v>
      </c>
      <c r="G8" s="21">
        <f>C8-E8</f>
        <v>58097.2</v>
      </c>
      <c r="H8" s="21">
        <f>SUM(G8/F8)</f>
        <v>6455.2444444444445</v>
      </c>
      <c r="I8" s="21">
        <f>SUM(H8*0.5)</f>
        <v>3227.6222222222223</v>
      </c>
      <c r="J8" s="21">
        <f>SUM(G8*0.7)/F8</f>
        <v>4518.6711111111108</v>
      </c>
      <c r="K8">
        <f>SUM(K5:K7)</f>
        <v>24144.67</v>
      </c>
    </row>
    <row r="9" spans="1:11" x14ac:dyDescent="0.3">
      <c r="A9" s="15" t="s">
        <v>28</v>
      </c>
      <c r="B9" s="18">
        <v>30</v>
      </c>
      <c r="C9" s="19">
        <v>81900</v>
      </c>
      <c r="D9" s="20">
        <v>0.2</v>
      </c>
      <c r="E9" s="21">
        <f>SUM(E11*D9)</f>
        <v>7611.2000000000007</v>
      </c>
      <c r="F9" s="18">
        <v>24</v>
      </c>
      <c r="G9" s="21">
        <f>SUM(C9-E9)</f>
        <v>74288.800000000003</v>
      </c>
      <c r="H9" s="21">
        <f>SUM(G9/F9)</f>
        <v>3095.3666666666668</v>
      </c>
      <c r="I9" s="21">
        <f>SUM(H9*0.5)</f>
        <v>1547.6833333333334</v>
      </c>
      <c r="J9" s="21">
        <f>SUM(G9*0.7)/F9</f>
        <v>2166.7566666666667</v>
      </c>
      <c r="K9" t="s">
        <v>124</v>
      </c>
    </row>
    <row r="10" spans="1:11" x14ac:dyDescent="0.3">
      <c r="A10" s="15" t="s">
        <v>30</v>
      </c>
      <c r="B10" s="18">
        <v>25</v>
      </c>
      <c r="C10" s="19">
        <v>29000</v>
      </c>
      <c r="D10" s="20">
        <v>0.05</v>
      </c>
      <c r="E10" s="21">
        <f>SUM(E11*D10)</f>
        <v>1902.8000000000002</v>
      </c>
      <c r="F10" s="18">
        <v>19</v>
      </c>
      <c r="G10" s="21">
        <f>C10-E10</f>
        <v>27097.200000000001</v>
      </c>
      <c r="H10" s="21">
        <f>SUM(G10/F10)</f>
        <v>1426.1684210526316</v>
      </c>
      <c r="I10" s="21">
        <f>SUM(H10*0.5)</f>
        <v>713.08421052631581</v>
      </c>
      <c r="J10" s="21">
        <f>SUM(G10*0.7)/F10</f>
        <v>998.31789473684216</v>
      </c>
    </row>
    <row r="11" spans="1:11" x14ac:dyDescent="0.3">
      <c r="A11" s="15" t="s">
        <v>86</v>
      </c>
      <c r="B11" s="14"/>
      <c r="C11" s="22">
        <f>SUM(C6:C8)</f>
        <v>180000</v>
      </c>
      <c r="D11" s="23">
        <f>SUM(D6:D10)</f>
        <v>1</v>
      </c>
      <c r="E11" s="24">
        <v>38056</v>
      </c>
      <c r="F11" s="14"/>
      <c r="G11" s="24">
        <f>C11-E11</f>
        <v>141944</v>
      </c>
      <c r="H11" s="24">
        <f>SUM(H6:H10)</f>
        <v>29316.979532163747</v>
      </c>
      <c r="I11" s="24">
        <f>SUM(I6:I10)</f>
        <v>14658.489766081873</v>
      </c>
      <c r="J11" s="24">
        <f>SUM(J6:J10)</f>
        <v>20521.885672514622</v>
      </c>
    </row>
    <row r="13" spans="1:11" ht="69.599999999999994" x14ac:dyDescent="0.3">
      <c r="A13" s="25" t="s">
        <v>41</v>
      </c>
      <c r="B13" s="26" t="s">
        <v>65</v>
      </c>
      <c r="C13" s="27" t="s">
        <v>67</v>
      </c>
      <c r="D13" s="63" t="s">
        <v>87</v>
      </c>
      <c r="E13" s="63" t="s">
        <v>88</v>
      </c>
      <c r="F13" s="54" t="s">
        <v>121</v>
      </c>
      <c r="G13" s="54" t="s">
        <v>119</v>
      </c>
      <c r="H13" s="59" t="s">
        <v>122</v>
      </c>
      <c r="I13" s="59" t="s">
        <v>120</v>
      </c>
    </row>
    <row r="14" spans="1:11" x14ac:dyDescent="0.3">
      <c r="A14" s="30" t="s">
        <v>33</v>
      </c>
      <c r="B14" s="31">
        <v>5.1139999999999998E-2</v>
      </c>
      <c r="C14" s="32">
        <f>SUM('2017'!C48)</f>
        <v>578.3439494053041</v>
      </c>
      <c r="D14" s="64">
        <f>SUM(H11*B14/12)</f>
        <v>124.93919443957117</v>
      </c>
      <c r="E14" s="65">
        <v>578.3439494053041</v>
      </c>
      <c r="F14" s="62">
        <f>SUM(I11*B14/12)</f>
        <v>62.469597219785584</v>
      </c>
      <c r="G14" s="55">
        <f t="shared" ref="G14:G19" si="0">SUM(F14+C14)</f>
        <v>640.81354662508966</v>
      </c>
      <c r="H14" s="60">
        <f>SUM(J11*B14)/12</f>
        <v>87.45743610769982</v>
      </c>
      <c r="I14" s="61">
        <f t="shared" ref="I14:I19" si="1">SUM(C14+H14)</f>
        <v>665.80138551300388</v>
      </c>
    </row>
    <row r="15" spans="1:11" x14ac:dyDescent="0.3">
      <c r="A15" s="30" t="s">
        <v>34</v>
      </c>
      <c r="B15" s="31">
        <v>5.679E-2</v>
      </c>
      <c r="C15" s="32">
        <f>SUM('2017'!C49)</f>
        <v>642.23998605254633</v>
      </c>
      <c r="D15" s="64">
        <f>SUM(H11*B15/12)</f>
        <v>138.74260563596494</v>
      </c>
      <c r="E15" s="65">
        <v>642.23998605254633</v>
      </c>
      <c r="F15" s="62">
        <f>SUM(I11*B15/12)</f>
        <v>69.371302817982468</v>
      </c>
      <c r="G15" s="55">
        <f t="shared" si="0"/>
        <v>711.61128887052882</v>
      </c>
      <c r="H15" s="60">
        <f>SUM(J11*B15)/12</f>
        <v>97.11982394517544</v>
      </c>
      <c r="I15" s="61">
        <f t="shared" si="1"/>
        <v>739.35980999772175</v>
      </c>
    </row>
    <row r="16" spans="1:11" x14ac:dyDescent="0.3">
      <c r="A16" s="30" t="s">
        <v>35</v>
      </c>
      <c r="B16" s="31">
        <v>5.5509999999999997E-2</v>
      </c>
      <c r="C16" s="32">
        <f>SUM('2017'!C50)</f>
        <v>627.76442376786133</v>
      </c>
      <c r="D16" s="64">
        <f>SUM(H11*B16/12)</f>
        <v>135.61546115253412</v>
      </c>
      <c r="E16" s="65">
        <v>627.76442376786133</v>
      </c>
      <c r="F16" s="62">
        <f>SUM(I11*B16/12)</f>
        <v>67.807730576267062</v>
      </c>
      <c r="G16" s="55">
        <f t="shared" si="0"/>
        <v>695.57215434412842</v>
      </c>
      <c r="H16" s="60">
        <f>SUM(J11*B16)/12</f>
        <v>94.93082280677389</v>
      </c>
      <c r="I16" s="61">
        <f t="shared" si="1"/>
        <v>722.69524657463523</v>
      </c>
    </row>
    <row r="17" spans="1:9" x14ac:dyDescent="0.3">
      <c r="A17" s="30" t="s">
        <v>36</v>
      </c>
      <c r="B17" s="31">
        <v>5.7230000000000003E-2</v>
      </c>
      <c r="C17" s="32">
        <f>SUM('2017'!C51)</f>
        <v>647.21596058790681</v>
      </c>
      <c r="D17" s="64">
        <f>SUM(H11*B17/12)</f>
        <v>139.81756155214427</v>
      </c>
      <c r="E17" s="65">
        <v>647.21596058790681</v>
      </c>
      <c r="F17" s="62">
        <f>SUM(I11*B17/12)</f>
        <v>69.908780776072135</v>
      </c>
      <c r="G17" s="55">
        <f t="shared" si="0"/>
        <v>717.12474136397896</v>
      </c>
      <c r="H17" s="60">
        <f>SUM(J11*B17)/12</f>
        <v>97.872293086500989</v>
      </c>
      <c r="I17" s="61">
        <f t="shared" si="1"/>
        <v>745.08825367440784</v>
      </c>
    </row>
    <row r="18" spans="1:9" x14ac:dyDescent="0.3">
      <c r="A18" s="30" t="s">
        <v>92</v>
      </c>
      <c r="B18" s="31">
        <v>5.9200000000000003E-2</v>
      </c>
      <c r="C18" s="32">
        <f>SUM('2017'!C52)</f>
        <v>669.49475566667968</v>
      </c>
      <c r="D18" s="64">
        <f>SUM(H11*B18/12)</f>
        <v>144.63043235867448</v>
      </c>
      <c r="E18" s="65">
        <v>669.49475566667968</v>
      </c>
      <c r="F18" s="62">
        <f>SUM(I11*B18/12)</f>
        <v>72.315216179337241</v>
      </c>
      <c r="G18" s="55">
        <f t="shared" si="0"/>
        <v>741.80997184601688</v>
      </c>
      <c r="H18" s="60">
        <f>SUM(J11*B18)/12</f>
        <v>101.24130265107215</v>
      </c>
      <c r="I18" s="61">
        <f t="shared" si="1"/>
        <v>770.73605831775183</v>
      </c>
    </row>
    <row r="19" spans="1:9" x14ac:dyDescent="0.3">
      <c r="A19" s="30" t="s">
        <v>38</v>
      </c>
      <c r="B19" s="31">
        <v>6.9459999999999994E-2</v>
      </c>
      <c r="C19" s="32">
        <f>SUM('2017'!C53)</f>
        <v>785.52543460485754</v>
      </c>
      <c r="D19" s="64">
        <f>SUM(H11*B19/12)</f>
        <v>169.69644985867447</v>
      </c>
      <c r="E19" s="65">
        <v>785.52543460485754</v>
      </c>
      <c r="F19" s="62">
        <f>SUM(I11*B19/12)</f>
        <v>84.848224929337235</v>
      </c>
      <c r="G19" s="55">
        <f t="shared" si="0"/>
        <v>870.37365953419476</v>
      </c>
      <c r="H19" s="60">
        <f>SUM(J11*B19)/12</f>
        <v>118.78751490107213</v>
      </c>
      <c r="I19" s="61">
        <f t="shared" si="1"/>
        <v>904.31294950592962</v>
      </c>
    </row>
    <row r="20" spans="1:9" ht="16.2" thickBot="1" x14ac:dyDescent="0.35"/>
    <row r="21" spans="1:9" x14ac:dyDescent="0.3">
      <c r="A21" s="160" t="s">
        <v>91</v>
      </c>
      <c r="B21" s="161"/>
      <c r="C21" s="161"/>
      <c r="D21" s="161"/>
      <c r="E21" s="161"/>
      <c r="F21" s="161"/>
      <c r="G21" s="161"/>
      <c r="H21" s="162"/>
    </row>
    <row r="22" spans="1:9" ht="16.2" thickBot="1" x14ac:dyDescent="0.35">
      <c r="A22" s="163"/>
      <c r="B22" s="164"/>
      <c r="C22" s="164"/>
      <c r="D22" s="164"/>
      <c r="E22" s="164"/>
      <c r="F22" s="164"/>
      <c r="G22" s="164"/>
      <c r="H22" s="165"/>
    </row>
  </sheetData>
  <mergeCells count="5">
    <mergeCell ref="A21:H22"/>
    <mergeCell ref="A2:I2"/>
    <mergeCell ref="I3:I4"/>
    <mergeCell ref="A3:A4"/>
    <mergeCell ref="J3:J4"/>
  </mergeCells>
  <pageMargins left="0.2" right="0.2" top="0.75" bottom="0.4" header="0.3" footer="0.3"/>
  <pageSetup scale="75" orientation="landscape" r:id="rId1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view="pageBreakPreview" zoomScale="40" zoomScaleSheetLayoutView="40" workbookViewId="0">
      <selection activeCell="E35" sqref="E35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9" t="s">
        <v>125</v>
      </c>
      <c r="B1" s="169"/>
      <c r="C1" s="169"/>
      <c r="D1" s="169"/>
    </row>
    <row r="2" spans="1:9" ht="54" customHeight="1" x14ac:dyDescent="0.4">
      <c r="A2" s="170" t="s">
        <v>126</v>
      </c>
      <c r="B2" s="170"/>
      <c r="C2" s="170"/>
      <c r="D2" s="170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99</v>
      </c>
    </row>
    <row r="4" spans="1:9" ht="25.5" customHeight="1" x14ac:dyDescent="0.55000000000000004">
      <c r="A4" s="87"/>
      <c r="B4" s="89" t="s">
        <v>101</v>
      </c>
      <c r="C4" s="88" t="s">
        <v>127</v>
      </c>
      <c r="D4" s="89" t="s">
        <v>128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91">
        <v>109850</v>
      </c>
      <c r="C6" s="91">
        <v>166200</v>
      </c>
      <c r="D6" s="91">
        <f>124505-350</f>
        <v>124155</v>
      </c>
      <c r="I6" s="36"/>
    </row>
    <row r="7" spans="1:9" ht="25.5" customHeight="1" x14ac:dyDescent="0.55000000000000004">
      <c r="A7" s="87" t="s">
        <v>132</v>
      </c>
      <c r="B7" s="91">
        <v>0</v>
      </c>
      <c r="C7" s="91">
        <v>18000</v>
      </c>
      <c r="D7" s="91">
        <v>0</v>
      </c>
      <c r="I7" s="36"/>
    </row>
    <row r="8" spans="1:9" ht="25.5" customHeight="1" x14ac:dyDescent="0.55000000000000004">
      <c r="A8" s="87" t="s">
        <v>58</v>
      </c>
      <c r="B8" s="91">
        <v>150</v>
      </c>
      <c r="C8" s="91">
        <v>550</v>
      </c>
      <c r="D8" s="91">
        <v>200</v>
      </c>
      <c r="I8" s="36"/>
    </row>
    <row r="9" spans="1:9" ht="25.5" customHeight="1" x14ac:dyDescent="0.55000000000000004">
      <c r="A9" s="87" t="s">
        <v>59</v>
      </c>
      <c r="B9" s="92">
        <v>300</v>
      </c>
      <c r="C9" s="92">
        <v>150</v>
      </c>
      <c r="D9" s="92">
        <v>150</v>
      </c>
      <c r="I9" s="36"/>
    </row>
    <row r="10" spans="1:9" ht="25.5" customHeight="1" x14ac:dyDescent="0.5">
      <c r="A10" s="90" t="s">
        <v>60</v>
      </c>
      <c r="B10" s="88">
        <f>SUM(B6:B9)</f>
        <v>110300</v>
      </c>
      <c r="C10" s="88">
        <f>SUM(C6:C9)</f>
        <v>184900</v>
      </c>
      <c r="D10" s="88">
        <f>SUM(D6:D9)-18000</f>
        <v>106505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400</v>
      </c>
      <c r="C13" s="91">
        <v>325</v>
      </c>
      <c r="D13" s="91">
        <v>325</v>
      </c>
      <c r="I13" s="36"/>
    </row>
    <row r="14" spans="1:9" ht="25.5" customHeight="1" x14ac:dyDescent="0.55000000000000004">
      <c r="A14" s="87" t="s">
        <v>2</v>
      </c>
      <c r="B14" s="91">
        <v>110</v>
      </c>
      <c r="C14" s="91">
        <v>140</v>
      </c>
      <c r="D14" s="91">
        <v>140</v>
      </c>
      <c r="I14" s="36"/>
    </row>
    <row r="15" spans="1:9" ht="25.5" customHeight="1" x14ac:dyDescent="0.55000000000000004">
      <c r="A15" s="87" t="s">
        <v>63</v>
      </c>
      <c r="B15" s="91">
        <v>0</v>
      </c>
      <c r="C15" s="91">
        <v>0</v>
      </c>
      <c r="D15" s="91">
        <v>0</v>
      </c>
      <c r="I15" s="36"/>
    </row>
    <row r="16" spans="1:9" ht="25.5" customHeight="1" x14ac:dyDescent="0.55000000000000004">
      <c r="A16" s="87" t="s">
        <v>21</v>
      </c>
      <c r="B16" s="91">
        <v>3600</v>
      </c>
      <c r="C16" s="91">
        <v>3000</v>
      </c>
      <c r="D16" s="91">
        <v>3600</v>
      </c>
      <c r="I16" s="36"/>
    </row>
    <row r="17" spans="1:9" ht="25.5" customHeight="1" x14ac:dyDescent="0.55000000000000004">
      <c r="A17" s="87" t="s">
        <v>17</v>
      </c>
      <c r="B17" s="91">
        <v>400</v>
      </c>
      <c r="C17" s="91">
        <v>400</v>
      </c>
      <c r="D17" s="91">
        <v>400</v>
      </c>
      <c r="I17" s="36"/>
    </row>
    <row r="18" spans="1:9" ht="25.5" customHeight="1" x14ac:dyDescent="0.55000000000000004">
      <c r="A18" s="87" t="s">
        <v>64</v>
      </c>
      <c r="B18" s="92">
        <v>2000</v>
      </c>
      <c r="C18" s="92">
        <v>1000</v>
      </c>
      <c r="D18" s="92">
        <v>2000</v>
      </c>
      <c r="I18" s="36"/>
    </row>
    <row r="19" spans="1:9" ht="25.5" customHeight="1" x14ac:dyDescent="0.5">
      <c r="A19" s="93" t="s">
        <v>109</v>
      </c>
      <c r="B19" s="88">
        <f>SUM(B13:B18)</f>
        <v>6510</v>
      </c>
      <c r="C19" s="88">
        <f>SUM(C13:C18)</f>
        <v>4865</v>
      </c>
      <c r="D19" s="88">
        <f>SUM(D13:D18)</f>
        <v>6465</v>
      </c>
      <c r="I19" s="36"/>
    </row>
    <row r="20" spans="1:9" ht="25.5" customHeight="1" x14ac:dyDescent="0.55000000000000004">
      <c r="A20" s="93" t="s">
        <v>104</v>
      </c>
      <c r="B20" s="91"/>
      <c r="C20" s="91"/>
      <c r="D20" s="91"/>
      <c r="I20" s="36"/>
    </row>
    <row r="21" spans="1:9" ht="25.5" customHeight="1" x14ac:dyDescent="0.55000000000000004">
      <c r="A21" s="87" t="s">
        <v>3</v>
      </c>
      <c r="B21" s="91">
        <v>13000</v>
      </c>
      <c r="C21" s="91">
        <v>8000</v>
      </c>
      <c r="D21" s="91">
        <v>13000</v>
      </c>
      <c r="I21" s="36"/>
    </row>
    <row r="22" spans="1:9" ht="25.5" customHeight="1" x14ac:dyDescent="0.55000000000000004">
      <c r="A22" s="87" t="s">
        <v>8</v>
      </c>
      <c r="B22" s="91">
        <v>8400</v>
      </c>
      <c r="C22" s="91">
        <v>8000</v>
      </c>
      <c r="D22" s="91">
        <v>8400</v>
      </c>
      <c r="I22" s="36"/>
    </row>
    <row r="23" spans="1:9" ht="25.5" customHeight="1" x14ac:dyDescent="0.55000000000000004">
      <c r="A23" s="87" t="s">
        <v>9</v>
      </c>
      <c r="B23" s="91">
        <v>1000</v>
      </c>
      <c r="C23" s="91">
        <v>200</v>
      </c>
      <c r="D23" s="91">
        <v>1000</v>
      </c>
      <c r="I23" s="36"/>
    </row>
    <row r="24" spans="1:9" ht="25.5" customHeight="1" x14ac:dyDescent="0.55000000000000004">
      <c r="A24" s="87" t="s">
        <v>66</v>
      </c>
      <c r="B24" s="91">
        <v>2000</v>
      </c>
      <c r="C24" s="91">
        <v>1100</v>
      </c>
      <c r="D24" s="91">
        <v>2000</v>
      </c>
      <c r="I24" s="36"/>
    </row>
    <row r="25" spans="1:9" ht="25.5" customHeight="1" x14ac:dyDescent="0.55000000000000004">
      <c r="A25" s="87" t="s">
        <v>4</v>
      </c>
      <c r="B25" s="91">
        <v>2200</v>
      </c>
      <c r="C25" s="91">
        <v>2400</v>
      </c>
      <c r="D25" s="91">
        <v>2500</v>
      </c>
      <c r="I25" s="36"/>
    </row>
    <row r="26" spans="1:9" ht="25.5" customHeight="1" x14ac:dyDescent="0.55000000000000004">
      <c r="A26" s="87" t="s">
        <v>5</v>
      </c>
      <c r="B26" s="91">
        <v>10000</v>
      </c>
      <c r="C26" s="91">
        <v>30716.82</v>
      </c>
      <c r="D26" s="91">
        <v>5000</v>
      </c>
      <c r="I26" s="36"/>
    </row>
    <row r="27" spans="1:9" ht="25.5" customHeight="1" x14ac:dyDescent="0.55000000000000004">
      <c r="A27" s="87" t="s">
        <v>105</v>
      </c>
      <c r="B27" s="92">
        <v>1500</v>
      </c>
      <c r="C27" s="92">
        <v>1300</v>
      </c>
      <c r="D27" s="92">
        <v>1500</v>
      </c>
      <c r="I27" s="36"/>
    </row>
    <row r="28" spans="1:9" ht="25.5" customHeight="1" x14ac:dyDescent="0.5">
      <c r="A28" s="93" t="s">
        <v>110</v>
      </c>
      <c r="B28" s="88">
        <f>SUM(B21:B27)</f>
        <v>38100</v>
      </c>
      <c r="C28" s="88">
        <f>SUM(C21:C27)</f>
        <v>51716.82</v>
      </c>
      <c r="D28" s="88">
        <f>SUM(D21:D27)</f>
        <v>33400</v>
      </c>
      <c r="I28" s="36"/>
    </row>
    <row r="29" spans="1:9" ht="25.5" customHeight="1" x14ac:dyDescent="0.55000000000000004">
      <c r="A29" s="93" t="s">
        <v>106</v>
      </c>
      <c r="B29" s="91"/>
      <c r="C29" s="91"/>
      <c r="D29" s="91"/>
      <c r="I29" s="36"/>
    </row>
    <row r="30" spans="1:9" ht="25.5" customHeight="1" x14ac:dyDescent="0.55000000000000004">
      <c r="A30" s="87" t="s">
        <v>6</v>
      </c>
      <c r="B30" s="91">
        <v>8000</v>
      </c>
      <c r="C30" s="91">
        <v>8300</v>
      </c>
      <c r="D30" s="91">
        <v>8500</v>
      </c>
      <c r="I30" s="36"/>
    </row>
    <row r="31" spans="1:9" ht="25.5" customHeight="1" x14ac:dyDescent="0.55000000000000004">
      <c r="A31" s="87" t="s">
        <v>114</v>
      </c>
      <c r="B31" s="91">
        <v>100</v>
      </c>
      <c r="C31" s="91">
        <v>100</v>
      </c>
      <c r="D31" s="91">
        <v>100</v>
      </c>
      <c r="I31" s="36"/>
    </row>
    <row r="32" spans="1:9" ht="25.5" customHeight="1" x14ac:dyDescent="0.55000000000000004">
      <c r="A32" s="87" t="s">
        <v>61</v>
      </c>
      <c r="B32" s="91">
        <v>2000</v>
      </c>
      <c r="C32" s="91">
        <v>2000</v>
      </c>
      <c r="D32" s="91">
        <v>2000</v>
      </c>
      <c r="I32" s="36"/>
    </row>
    <row r="33" spans="1:11" ht="25.5" customHeight="1" x14ac:dyDescent="0.55000000000000004">
      <c r="A33" s="87" t="s">
        <v>15</v>
      </c>
      <c r="B33" s="91">
        <v>2200</v>
      </c>
      <c r="C33" s="91">
        <v>2400</v>
      </c>
      <c r="D33" s="91">
        <v>2200</v>
      </c>
      <c r="I33" s="36"/>
    </row>
    <row r="34" spans="1:11" ht="25.5" customHeight="1" x14ac:dyDescent="0.55000000000000004">
      <c r="A34" s="87" t="s">
        <v>62</v>
      </c>
      <c r="B34" s="92">
        <v>1500</v>
      </c>
      <c r="C34" s="92">
        <v>0</v>
      </c>
      <c r="D34" s="92">
        <v>1500</v>
      </c>
      <c r="I34" s="36"/>
    </row>
    <row r="35" spans="1:11" ht="25.5" customHeight="1" x14ac:dyDescent="0.5">
      <c r="A35" s="93" t="s">
        <v>111</v>
      </c>
      <c r="B35" s="88">
        <f>SUM(B30:B34)</f>
        <v>13800</v>
      </c>
      <c r="C35" s="88">
        <f>SUM(C30:C34)</f>
        <v>12800</v>
      </c>
      <c r="D35" s="88">
        <f>SUM(D30:D34)</f>
        <v>14300</v>
      </c>
      <c r="I35" s="36"/>
    </row>
    <row r="36" spans="1:11" ht="25.5" customHeight="1" x14ac:dyDescent="0.55000000000000004">
      <c r="A36" s="93" t="s">
        <v>107</v>
      </c>
      <c r="B36" s="91"/>
      <c r="C36" s="91"/>
      <c r="D36" s="91"/>
      <c r="I36" s="36"/>
    </row>
    <row r="37" spans="1:11" ht="25.5" customHeight="1" x14ac:dyDescent="0.55000000000000004">
      <c r="A37" s="87" t="s">
        <v>12</v>
      </c>
      <c r="B37" s="91">
        <v>9200</v>
      </c>
      <c r="C37" s="91">
        <v>8500</v>
      </c>
      <c r="D37" s="91">
        <v>9200</v>
      </c>
      <c r="I37" s="36"/>
    </row>
    <row r="38" spans="1:11" ht="25.5" customHeight="1" x14ac:dyDescent="0.55000000000000004">
      <c r="A38" s="87" t="s">
        <v>13</v>
      </c>
      <c r="B38" s="91">
        <v>8200</v>
      </c>
      <c r="C38" s="91">
        <v>8000</v>
      </c>
      <c r="D38" s="91">
        <v>8200</v>
      </c>
      <c r="I38" s="36"/>
    </row>
    <row r="39" spans="1:11" ht="25.5" customHeight="1" x14ac:dyDescent="0.55000000000000004">
      <c r="A39" s="87" t="s">
        <v>14</v>
      </c>
      <c r="B39" s="92">
        <v>4200</v>
      </c>
      <c r="C39" s="92">
        <v>4650</v>
      </c>
      <c r="D39" s="92">
        <v>4700</v>
      </c>
      <c r="I39" s="36"/>
    </row>
    <row r="40" spans="1:11" ht="25.5" customHeight="1" x14ac:dyDescent="0.5">
      <c r="A40" s="93" t="s">
        <v>112</v>
      </c>
      <c r="B40" s="88">
        <f>SUM(B37:B39)</f>
        <v>21600</v>
      </c>
      <c r="C40" s="88">
        <f>SUM(C37:C39)</f>
        <v>21150</v>
      </c>
      <c r="D40" s="88">
        <f>SUM(D37:D39)</f>
        <v>22100</v>
      </c>
      <c r="I40" s="36"/>
    </row>
    <row r="41" spans="1:11" ht="25.5" customHeight="1" x14ac:dyDescent="0.5">
      <c r="A41" s="93" t="s">
        <v>129</v>
      </c>
      <c r="B41" s="88">
        <v>0</v>
      </c>
      <c r="C41" s="88">
        <f>1483*12</f>
        <v>17796</v>
      </c>
      <c r="D41" s="88">
        <v>0</v>
      </c>
      <c r="I41" s="36"/>
    </row>
    <row r="42" spans="1:11" ht="25.5" customHeight="1" x14ac:dyDescent="0.55000000000000004">
      <c r="A42" s="93" t="s">
        <v>108</v>
      </c>
      <c r="B42" s="91"/>
      <c r="C42" s="91"/>
      <c r="D42" s="91"/>
      <c r="I42" s="36"/>
    </row>
    <row r="43" spans="1:11" ht="25.5" customHeight="1" x14ac:dyDescent="0.55000000000000004">
      <c r="A43" s="87" t="s">
        <v>115</v>
      </c>
      <c r="B43" s="91">
        <v>30240</v>
      </c>
      <c r="C43" s="91">
        <v>28000</v>
      </c>
      <c r="D43" s="91">
        <v>30240</v>
      </c>
      <c r="I43" s="36"/>
    </row>
    <row r="44" spans="1:11" ht="25.5" customHeight="1" x14ac:dyDescent="0.5">
      <c r="A44" s="93" t="s">
        <v>113</v>
      </c>
      <c r="B44" s="88">
        <f>SUM(B43:B43)</f>
        <v>30240</v>
      </c>
      <c r="C44" s="88">
        <f>SUM(C43:C43)</f>
        <v>28000</v>
      </c>
      <c r="D44" s="88">
        <f>SUM(D43:D43)</f>
        <v>30240</v>
      </c>
      <c r="I44" s="36"/>
    </row>
    <row r="45" spans="1:11" ht="25.5" customHeight="1" x14ac:dyDescent="0.5">
      <c r="A45" s="93" t="s">
        <v>23</v>
      </c>
      <c r="B45" s="88">
        <f>SUM(B44+B40+B35+B28++B19)</f>
        <v>110250</v>
      </c>
      <c r="C45" s="88">
        <f>SUM(C44+C40+C35+C28+C19+C41)</f>
        <v>136327.82</v>
      </c>
      <c r="D45" s="88">
        <f>SUM(D44+D40+D35+D28+D19+D41)</f>
        <v>106505</v>
      </c>
      <c r="I45" s="36"/>
    </row>
    <row r="46" spans="1:11" ht="31.2" thickBot="1" x14ac:dyDescent="0.6">
      <c r="A46" s="87"/>
      <c r="B46" s="91"/>
      <c r="C46" s="91"/>
      <c r="D46" s="91"/>
    </row>
    <row r="47" spans="1:11" s="48" customFormat="1" ht="30" x14ac:dyDescent="0.5">
      <c r="A47" s="94" t="s">
        <v>41</v>
      </c>
      <c r="B47" s="95" t="s">
        <v>65</v>
      </c>
      <c r="C47" s="96" t="s">
        <v>131</v>
      </c>
      <c r="D47" s="97"/>
      <c r="G47" s="49"/>
      <c r="H47" s="50"/>
      <c r="I47" s="49"/>
      <c r="J47" s="49"/>
      <c r="K47" s="49"/>
    </row>
    <row r="48" spans="1:11" s="48" customFormat="1" ht="36" customHeight="1" x14ac:dyDescent="0.55000000000000004">
      <c r="A48" s="98" t="s">
        <v>33</v>
      </c>
      <c r="B48" s="99">
        <v>5.1139999999999998E-2</v>
      </c>
      <c r="C48" s="100">
        <f>SUM(D45*B48)/12</f>
        <v>453.88880833333332</v>
      </c>
      <c r="D48" s="91"/>
      <c r="E48" s="57"/>
      <c r="F48" s="57"/>
      <c r="G48" s="47"/>
      <c r="H48" s="50">
        <f>SUM(C48*6*12)</f>
        <v>32679.994199999997</v>
      </c>
      <c r="I48" s="47"/>
      <c r="J48" s="47"/>
      <c r="K48" s="47"/>
    </row>
    <row r="49" spans="1:11" s="48" customFormat="1" ht="36" customHeight="1" x14ac:dyDescent="0.55000000000000004">
      <c r="A49" s="98" t="s">
        <v>34</v>
      </c>
      <c r="B49" s="99">
        <v>5.679E-2</v>
      </c>
      <c r="C49" s="100">
        <f>SUM(D45*B49)/12</f>
        <v>504.03491250000002</v>
      </c>
      <c r="D49" s="91"/>
      <c r="E49" s="57"/>
      <c r="F49" s="57"/>
      <c r="G49" s="47"/>
      <c r="H49" s="50">
        <f>SUM(C49*6*12)</f>
        <v>36290.513700000003</v>
      </c>
      <c r="I49" s="47"/>
      <c r="J49" s="47"/>
      <c r="K49" s="47"/>
    </row>
    <row r="50" spans="1:11" s="48" customFormat="1" ht="36" customHeight="1" x14ac:dyDescent="0.55000000000000004">
      <c r="A50" s="98" t="s">
        <v>35</v>
      </c>
      <c r="B50" s="99">
        <v>5.5509999999999997E-2</v>
      </c>
      <c r="C50" s="100">
        <f>SUM(D45*B50)/12</f>
        <v>492.6743791666666</v>
      </c>
      <c r="D50" s="91"/>
      <c r="E50" s="57"/>
      <c r="F50" s="57"/>
      <c r="G50" s="47"/>
      <c r="H50" s="50">
        <f>SUM(C50*3*12)</f>
        <v>17736.277649999996</v>
      </c>
      <c r="I50" s="47"/>
      <c r="J50" s="47"/>
      <c r="K50" s="47"/>
    </row>
    <row r="51" spans="1:11" s="48" customFormat="1" ht="36" customHeight="1" x14ac:dyDescent="0.55000000000000004">
      <c r="A51" s="101" t="s">
        <v>36</v>
      </c>
      <c r="B51" s="99">
        <v>5.7230000000000003E-2</v>
      </c>
      <c r="C51" s="100">
        <f>SUM(D45*B51)/12</f>
        <v>507.94009583333337</v>
      </c>
      <c r="D51" s="91"/>
      <c r="E51" s="57"/>
      <c r="F51" s="57"/>
      <c r="G51" s="47"/>
      <c r="H51" s="50">
        <f>SUM(C51*1*12)</f>
        <v>6095.2811500000007</v>
      </c>
      <c r="I51" s="47"/>
      <c r="J51" s="47"/>
      <c r="K51" s="47"/>
    </row>
    <row r="52" spans="1:11" s="48" customFormat="1" ht="36" customHeight="1" x14ac:dyDescent="0.55000000000000004">
      <c r="A52" s="101" t="s">
        <v>92</v>
      </c>
      <c r="B52" s="99">
        <v>5.9200000000000003E-2</v>
      </c>
      <c r="C52" s="100">
        <f>SUM(D45*B52)/12</f>
        <v>525.42466666666667</v>
      </c>
      <c r="D52" s="91"/>
      <c r="E52" s="57"/>
      <c r="F52" s="57"/>
      <c r="G52" s="47"/>
      <c r="H52" s="50">
        <f>SUM(C52*12)</f>
        <v>6305.0959999999995</v>
      </c>
      <c r="I52" s="47"/>
      <c r="J52" s="47"/>
      <c r="K52" s="47"/>
    </row>
    <row r="53" spans="1:11" s="48" customFormat="1" ht="36" customHeight="1" thickBot="1" x14ac:dyDescent="0.6">
      <c r="A53" s="102" t="s">
        <v>38</v>
      </c>
      <c r="B53" s="103">
        <v>6.9459999999999994E-2</v>
      </c>
      <c r="C53" s="104">
        <f>SUM(D45*B53)/12</f>
        <v>616.48644166666656</v>
      </c>
      <c r="D53" s="91"/>
      <c r="E53" s="57"/>
      <c r="F53" s="57"/>
      <c r="G53" s="47"/>
      <c r="H53" s="50">
        <f>SUM(C53*12)</f>
        <v>7397.8372999999992</v>
      </c>
      <c r="I53" s="47"/>
      <c r="J53" s="47"/>
      <c r="K53" s="47"/>
    </row>
    <row r="54" spans="1:11" x14ac:dyDescent="0.4">
      <c r="B54" s="37"/>
      <c r="F54" s="58"/>
      <c r="H54" s="41">
        <f>SUM(H48:H53)</f>
        <v>106505</v>
      </c>
    </row>
    <row r="55" spans="1:11" x14ac:dyDescent="0.4">
      <c r="I55" s="41"/>
    </row>
    <row r="59" spans="1:11" x14ac:dyDescent="0.4">
      <c r="I59" s="41"/>
    </row>
  </sheetData>
  <mergeCells count="2">
    <mergeCell ref="A1:D1"/>
    <mergeCell ref="A2:D2"/>
  </mergeCells>
  <phoneticPr fontId="4" type="noConversion"/>
  <pageMargins left="0.25" right="0.25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22"/>
  <sheetViews>
    <sheetView topLeftCell="B1" workbookViewId="0">
      <selection activeCell="A2" sqref="A2:I2"/>
    </sheetView>
  </sheetViews>
  <sheetFormatPr defaultColWidth="8.796875" defaultRowHeight="15.6" x14ac:dyDescent="0.3"/>
  <cols>
    <col min="1" max="1" width="30.296875" style="68" customWidth="1"/>
    <col min="2" max="2" width="10.59765625" style="68" customWidth="1"/>
    <col min="3" max="3" width="14.796875" style="68" bestFit="1" customWidth="1"/>
    <col min="4" max="4" width="12" style="68" customWidth="1"/>
    <col min="5" max="5" width="13.59765625" style="68" bestFit="1" customWidth="1"/>
    <col min="6" max="6" width="11.796875" style="68" customWidth="1"/>
    <col min="7" max="7" width="20" style="68" bestFit="1" customWidth="1"/>
    <col min="8" max="8" width="16.296875" style="68" customWidth="1"/>
    <col min="9" max="9" width="14.59765625" style="68" customWidth="1"/>
    <col min="10" max="16384" width="8.796875" style="68"/>
  </cols>
  <sheetData>
    <row r="2" spans="1:9" x14ac:dyDescent="0.3">
      <c r="A2" s="171" t="s">
        <v>129</v>
      </c>
      <c r="B2" s="171"/>
      <c r="C2" s="171"/>
      <c r="D2" s="171"/>
      <c r="E2" s="171"/>
      <c r="F2" s="171"/>
      <c r="G2" s="171"/>
      <c r="H2" s="171"/>
      <c r="I2" s="171"/>
    </row>
    <row r="3" spans="1:9" x14ac:dyDescent="0.3">
      <c r="A3" s="172" t="s">
        <v>69</v>
      </c>
      <c r="B3" s="69" t="s">
        <v>54</v>
      </c>
      <c r="C3" s="69" t="s">
        <v>54</v>
      </c>
      <c r="D3" s="69" t="s">
        <v>70</v>
      </c>
      <c r="E3" s="69" t="s">
        <v>71</v>
      </c>
      <c r="F3" s="69" t="s">
        <v>72</v>
      </c>
      <c r="G3" s="69" t="s">
        <v>73</v>
      </c>
      <c r="H3" s="69" t="s">
        <v>74</v>
      </c>
      <c r="I3" s="172" t="s">
        <v>130</v>
      </c>
    </row>
    <row r="4" spans="1:9" x14ac:dyDescent="0.3">
      <c r="A4" s="173"/>
      <c r="B4" s="69" t="s">
        <v>75</v>
      </c>
      <c r="C4" s="69" t="s">
        <v>76</v>
      </c>
      <c r="D4" s="69" t="s">
        <v>77</v>
      </c>
      <c r="E4" s="69" t="s">
        <v>25</v>
      </c>
      <c r="F4" s="69" t="s">
        <v>78</v>
      </c>
      <c r="G4" s="69" t="s">
        <v>74</v>
      </c>
      <c r="H4" s="69" t="s">
        <v>130</v>
      </c>
      <c r="I4" s="173"/>
    </row>
    <row r="5" spans="1:9" ht="28.8" x14ac:dyDescent="0.3">
      <c r="A5" s="69"/>
      <c r="B5" s="69"/>
      <c r="C5" s="69"/>
      <c r="D5" s="69" t="s">
        <v>80</v>
      </c>
      <c r="E5" s="70">
        <v>43100</v>
      </c>
      <c r="F5" s="69" t="s">
        <v>81</v>
      </c>
      <c r="G5" s="69" t="s">
        <v>82</v>
      </c>
      <c r="H5" s="69" t="s">
        <v>83</v>
      </c>
      <c r="I5" s="71" t="s">
        <v>118</v>
      </c>
    </row>
    <row r="6" spans="1:9" x14ac:dyDescent="0.3">
      <c r="A6" s="72" t="s">
        <v>27</v>
      </c>
      <c r="B6" s="73">
        <v>7</v>
      </c>
      <c r="C6" s="74">
        <v>40000</v>
      </c>
      <c r="D6" s="75">
        <v>0.3</v>
      </c>
      <c r="E6" s="76">
        <f>SUM(E11*D6)</f>
        <v>12900</v>
      </c>
      <c r="F6" s="73">
        <v>2</v>
      </c>
      <c r="G6" s="76">
        <f>C6-E6</f>
        <v>27100</v>
      </c>
      <c r="H6" s="76">
        <f>SUM(G6/F6)</f>
        <v>13550</v>
      </c>
      <c r="I6" s="76">
        <f>SUM(H6*0.5)</f>
        <v>6775</v>
      </c>
    </row>
    <row r="7" spans="1:9" x14ac:dyDescent="0.3">
      <c r="A7" s="72" t="s">
        <v>26</v>
      </c>
      <c r="B7" s="73">
        <v>20</v>
      </c>
      <c r="C7" s="74">
        <v>80000</v>
      </c>
      <c r="D7" s="75">
        <v>0.4</v>
      </c>
      <c r="E7" s="76">
        <f>SUM(E11*D7)</f>
        <v>17200</v>
      </c>
      <c r="F7" s="73">
        <v>15</v>
      </c>
      <c r="G7" s="76">
        <f>C7-E7</f>
        <v>62800</v>
      </c>
      <c r="H7" s="76">
        <f>SUM(G7/F7)</f>
        <v>4186.666666666667</v>
      </c>
      <c r="I7" s="76">
        <f>SUM(H7*0.5)</f>
        <v>2093.3333333333335</v>
      </c>
    </row>
    <row r="8" spans="1:9" x14ac:dyDescent="0.3">
      <c r="A8" s="72" t="s">
        <v>85</v>
      </c>
      <c r="B8" s="73">
        <v>15</v>
      </c>
      <c r="C8" s="74">
        <v>60000</v>
      </c>
      <c r="D8" s="75">
        <v>0.05</v>
      </c>
      <c r="E8" s="76">
        <f>SUM(E11*D8)</f>
        <v>2150</v>
      </c>
      <c r="F8" s="73">
        <v>8</v>
      </c>
      <c r="G8" s="76">
        <f>C8-E8</f>
        <v>57850</v>
      </c>
      <c r="H8" s="76">
        <f>SUM(G8/F8)</f>
        <v>7231.25</v>
      </c>
      <c r="I8" s="76">
        <f>SUM(H8*0.5)</f>
        <v>3615.625</v>
      </c>
    </row>
    <row r="9" spans="1:9" x14ac:dyDescent="0.3">
      <c r="A9" s="72" t="s">
        <v>28</v>
      </c>
      <c r="B9" s="73">
        <v>30</v>
      </c>
      <c r="C9" s="74">
        <v>81900</v>
      </c>
      <c r="D9" s="75">
        <v>0.2</v>
      </c>
      <c r="E9" s="76">
        <f>SUM(E11*D9)</f>
        <v>8600</v>
      </c>
      <c r="F9" s="73">
        <v>30</v>
      </c>
      <c r="G9" s="76">
        <f>SUM(C9-E9)</f>
        <v>73300</v>
      </c>
      <c r="H9" s="76">
        <f>SUM(G9/F9)</f>
        <v>2443.3333333333335</v>
      </c>
      <c r="I9" s="76">
        <f>SUM(H9*0.5)</f>
        <v>1221.6666666666667</v>
      </c>
    </row>
    <row r="10" spans="1:9" x14ac:dyDescent="0.3">
      <c r="A10" s="72" t="s">
        <v>30</v>
      </c>
      <c r="B10" s="73">
        <v>25</v>
      </c>
      <c r="C10" s="74">
        <v>29000</v>
      </c>
      <c r="D10" s="75">
        <v>0.05</v>
      </c>
      <c r="E10" s="76">
        <f>SUM(E11*D10)</f>
        <v>2150</v>
      </c>
      <c r="F10" s="73">
        <v>18</v>
      </c>
      <c r="G10" s="76">
        <f>C10-E10</f>
        <v>26850</v>
      </c>
      <c r="H10" s="76">
        <f>SUM(G10/F10)</f>
        <v>1491.6666666666667</v>
      </c>
      <c r="I10" s="76">
        <f>SUM(H10*0.5)</f>
        <v>745.83333333333337</v>
      </c>
    </row>
    <row r="11" spans="1:9" x14ac:dyDescent="0.3">
      <c r="A11" s="72" t="s">
        <v>86</v>
      </c>
      <c r="B11" s="69"/>
      <c r="C11" s="77">
        <f>SUM(C6:C8)</f>
        <v>180000</v>
      </c>
      <c r="D11" s="78">
        <f>SUM(D6:D10)</f>
        <v>1</v>
      </c>
      <c r="E11" s="79">
        <v>43000</v>
      </c>
      <c r="F11" s="69"/>
      <c r="G11" s="79">
        <f>C11-E11</f>
        <v>137000</v>
      </c>
      <c r="H11" s="79">
        <f>SUM(H6:H10)</f>
        <v>28902.916666666668</v>
      </c>
      <c r="I11" s="79">
        <f>SUM(I6:I10)</f>
        <v>14451.458333333334</v>
      </c>
    </row>
    <row r="13" spans="1:9" ht="69" x14ac:dyDescent="0.3">
      <c r="A13" s="80" t="s">
        <v>41</v>
      </c>
      <c r="B13" s="81" t="s">
        <v>65</v>
      </c>
      <c r="C13" s="81" t="s">
        <v>67</v>
      </c>
      <c r="D13" s="82" t="s">
        <v>87</v>
      </c>
      <c r="E13" s="105" t="s">
        <v>88</v>
      </c>
      <c r="F13" s="82" t="s">
        <v>121</v>
      </c>
      <c r="G13" s="82" t="s">
        <v>119</v>
      </c>
    </row>
    <row r="14" spans="1:9" x14ac:dyDescent="0.3">
      <c r="A14" s="83" t="s">
        <v>33</v>
      </c>
      <c r="B14" s="84">
        <v>5.1139999999999998E-2</v>
      </c>
      <c r="C14" s="85">
        <f>SUM('Budget 2018'!C48)</f>
        <v>453.88880833333332</v>
      </c>
      <c r="D14" s="86">
        <f>SUM(H11*B14/12)</f>
        <v>123.17459652777778</v>
      </c>
      <c r="E14" s="106">
        <f t="shared" ref="E14:E19" si="0">SUM(C14+D14)</f>
        <v>577.06340486111105</v>
      </c>
      <c r="F14" s="86">
        <f>SUM(I11*B14/12)</f>
        <v>61.58729826388889</v>
      </c>
      <c r="G14" s="85">
        <f t="shared" ref="G14:G19" si="1">SUM(F14+C14)</f>
        <v>515.47610659722216</v>
      </c>
    </row>
    <row r="15" spans="1:9" x14ac:dyDescent="0.3">
      <c r="A15" s="83" t="s">
        <v>34</v>
      </c>
      <c r="B15" s="84">
        <v>5.679E-2</v>
      </c>
      <c r="C15" s="85">
        <f>SUM('Budget 2018'!C49)</f>
        <v>504.03491250000002</v>
      </c>
      <c r="D15" s="86">
        <f>SUM(H11*B15/12)</f>
        <v>136.78305312500001</v>
      </c>
      <c r="E15" s="106">
        <f t="shared" si="0"/>
        <v>640.81796562500006</v>
      </c>
      <c r="F15" s="86">
        <f>SUM(I11*B15/12)</f>
        <v>68.391526562500005</v>
      </c>
      <c r="G15" s="85">
        <f t="shared" si="1"/>
        <v>572.42643906249998</v>
      </c>
    </row>
    <row r="16" spans="1:9" x14ac:dyDescent="0.3">
      <c r="A16" s="83" t="s">
        <v>35</v>
      </c>
      <c r="B16" s="84">
        <v>5.5509999999999997E-2</v>
      </c>
      <c r="C16" s="85">
        <f>SUM('Budget 2018'!C50)</f>
        <v>492.6743791666666</v>
      </c>
      <c r="D16" s="86">
        <f>SUM(H11*B16/12)</f>
        <v>133.70007534722222</v>
      </c>
      <c r="E16" s="106">
        <f t="shared" si="0"/>
        <v>626.37445451388885</v>
      </c>
      <c r="F16" s="86">
        <f>SUM(I11*B16/12)</f>
        <v>66.850037673611112</v>
      </c>
      <c r="G16" s="85">
        <f t="shared" si="1"/>
        <v>559.52441684027769</v>
      </c>
    </row>
    <row r="17" spans="1:8" x14ac:dyDescent="0.3">
      <c r="A17" s="83" t="s">
        <v>36</v>
      </c>
      <c r="B17" s="84">
        <v>5.7230000000000003E-2</v>
      </c>
      <c r="C17" s="85">
        <f>SUM('Budget 2018'!C51)</f>
        <v>507.94009583333337</v>
      </c>
      <c r="D17" s="86">
        <f>SUM(H11*B17/12)</f>
        <v>137.84282673611111</v>
      </c>
      <c r="E17" s="106">
        <f t="shared" si="0"/>
        <v>645.78292256944451</v>
      </c>
      <c r="F17" s="86">
        <f>SUM(I11*B17/12)</f>
        <v>68.921413368055553</v>
      </c>
      <c r="G17" s="85">
        <f t="shared" si="1"/>
        <v>576.86150920138891</v>
      </c>
    </row>
    <row r="18" spans="1:8" x14ac:dyDescent="0.3">
      <c r="A18" s="83" t="s">
        <v>92</v>
      </c>
      <c r="B18" s="84">
        <v>5.9200000000000003E-2</v>
      </c>
      <c r="C18" s="85">
        <f>SUM('Budget 2018'!C52)</f>
        <v>525.42466666666667</v>
      </c>
      <c r="D18" s="86">
        <f>SUM(H11*B18/12)</f>
        <v>142.58772222222223</v>
      </c>
      <c r="E18" s="106">
        <f t="shared" si="0"/>
        <v>668.01238888888884</v>
      </c>
      <c r="F18" s="86">
        <f>SUM(I11*B18/12)</f>
        <v>71.293861111111113</v>
      </c>
      <c r="G18" s="85">
        <f t="shared" si="1"/>
        <v>596.71852777777781</v>
      </c>
    </row>
    <row r="19" spans="1:8" x14ac:dyDescent="0.3">
      <c r="A19" s="83" t="s">
        <v>38</v>
      </c>
      <c r="B19" s="84">
        <v>6.9459999999999994E-2</v>
      </c>
      <c r="C19" s="85">
        <f>SUM('Budget 2018'!C53)</f>
        <v>616.48644166666656</v>
      </c>
      <c r="D19" s="86">
        <f>SUM(H11*B19/12)</f>
        <v>167.29971597222223</v>
      </c>
      <c r="E19" s="106">
        <f t="shared" si="0"/>
        <v>783.78615763888877</v>
      </c>
      <c r="F19" s="86">
        <f>SUM(I11*B19/12)</f>
        <v>83.649857986111115</v>
      </c>
      <c r="G19" s="85">
        <f t="shared" si="1"/>
        <v>700.13629965277767</v>
      </c>
    </row>
    <row r="20" spans="1:8" ht="16.2" thickBot="1" x14ac:dyDescent="0.35"/>
    <row r="21" spans="1:8" x14ac:dyDescent="0.3">
      <c r="A21" s="174" t="s">
        <v>91</v>
      </c>
      <c r="B21" s="175"/>
      <c r="C21" s="175"/>
      <c r="D21" s="175"/>
      <c r="E21" s="175"/>
      <c r="F21" s="175"/>
      <c r="G21" s="175"/>
      <c r="H21" s="176"/>
    </row>
    <row r="22" spans="1:8" ht="16.2" thickBot="1" x14ac:dyDescent="0.35">
      <c r="A22" s="177"/>
      <c r="B22" s="178"/>
      <c r="C22" s="178"/>
      <c r="D22" s="178"/>
      <c r="E22" s="178"/>
      <c r="F22" s="178"/>
      <c r="G22" s="178"/>
      <c r="H22" s="179"/>
    </row>
  </sheetData>
  <mergeCells count="4">
    <mergeCell ref="A2:I2"/>
    <mergeCell ref="A3:A4"/>
    <mergeCell ref="I3:I4"/>
    <mergeCell ref="A21:H22"/>
  </mergeCells>
  <pageMargins left="0.2" right="0.2" top="0.75" bottom="0.4" header="0.3" footer="0.3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0"/>
  <sheetViews>
    <sheetView view="pageBreakPreview" topLeftCell="A41" zoomScale="60" zoomScaleSheetLayoutView="40" workbookViewId="0">
      <selection activeCell="C46" sqref="C6:C46"/>
    </sheetView>
  </sheetViews>
  <sheetFormatPr defaultColWidth="61.59765625" defaultRowHeight="21" x14ac:dyDescent="0.4"/>
  <cols>
    <col min="1" max="1" width="61.59765625" style="36"/>
    <col min="2" max="2" width="46.09765625" style="41" customWidth="1"/>
    <col min="3" max="3" width="42" style="41" customWidth="1"/>
    <col min="4" max="4" width="48.09765625" style="41" customWidth="1"/>
    <col min="5" max="8" width="61.59765625" style="36"/>
    <col min="9" max="9" width="61.59765625" style="37"/>
    <col min="10" max="16384" width="61.59765625" style="36"/>
  </cols>
  <sheetData>
    <row r="1" spans="1:9" ht="30" x14ac:dyDescent="0.5">
      <c r="A1" s="169" t="s">
        <v>133</v>
      </c>
      <c r="B1" s="169"/>
      <c r="C1" s="169"/>
      <c r="D1" s="169"/>
    </row>
    <row r="2" spans="1:9" ht="54" customHeight="1" x14ac:dyDescent="0.4">
      <c r="A2" s="170" t="s">
        <v>134</v>
      </c>
      <c r="B2" s="170"/>
      <c r="C2" s="170"/>
      <c r="D2" s="170"/>
    </row>
    <row r="3" spans="1:9" ht="57" customHeight="1" x14ac:dyDescent="0.55000000000000004">
      <c r="A3" s="87"/>
      <c r="B3" s="88" t="s">
        <v>99</v>
      </c>
      <c r="C3" s="88" t="s">
        <v>54</v>
      </c>
      <c r="D3" s="88" t="s">
        <v>99</v>
      </c>
    </row>
    <row r="4" spans="1:9" ht="25.5" customHeight="1" x14ac:dyDescent="0.55000000000000004">
      <c r="A4" s="87"/>
      <c r="B4" s="89" t="s">
        <v>128</v>
      </c>
      <c r="C4" s="88" t="s">
        <v>135</v>
      </c>
      <c r="D4" s="89" t="s">
        <v>136</v>
      </c>
      <c r="I4" s="36"/>
    </row>
    <row r="5" spans="1:9" ht="25.5" customHeight="1" x14ac:dyDescent="0.55000000000000004">
      <c r="A5" s="90" t="s">
        <v>56</v>
      </c>
      <c r="B5" s="91"/>
      <c r="C5" s="91"/>
      <c r="D5" s="91"/>
      <c r="I5" s="36"/>
    </row>
    <row r="6" spans="1:9" ht="25.5" customHeight="1" x14ac:dyDescent="0.55000000000000004">
      <c r="A6" s="87" t="s">
        <v>57</v>
      </c>
      <c r="B6" s="91">
        <v>124155</v>
      </c>
      <c r="C6" s="91">
        <f>67704*2</f>
        <v>135408</v>
      </c>
      <c r="D6" s="91">
        <f>SUM(D55)</f>
        <v>98165</v>
      </c>
      <c r="I6" s="36"/>
    </row>
    <row r="7" spans="1:9" ht="25.5" customHeight="1" x14ac:dyDescent="0.55000000000000004">
      <c r="A7" s="87" t="s">
        <v>132</v>
      </c>
      <c r="B7" s="91">
        <v>0</v>
      </c>
      <c r="C7" s="91">
        <v>18000</v>
      </c>
      <c r="D7" s="91">
        <v>0</v>
      </c>
      <c r="I7" s="36"/>
    </row>
    <row r="8" spans="1:9" ht="25.5" customHeight="1" x14ac:dyDescent="0.55000000000000004">
      <c r="A8" s="87" t="s">
        <v>58</v>
      </c>
      <c r="B8" s="91">
        <v>200</v>
      </c>
      <c r="C8" s="91">
        <v>300</v>
      </c>
      <c r="D8" s="91">
        <v>200</v>
      </c>
      <c r="I8" s="36"/>
    </row>
    <row r="9" spans="1:9" ht="25.5" customHeight="1" x14ac:dyDescent="0.55000000000000004">
      <c r="A9" s="87" t="s">
        <v>59</v>
      </c>
      <c r="B9" s="92">
        <v>150</v>
      </c>
      <c r="C9" s="92">
        <f>92*2</f>
        <v>184</v>
      </c>
      <c r="D9" s="92">
        <v>150</v>
      </c>
      <c r="I9" s="36"/>
    </row>
    <row r="10" spans="1:9" ht="25.5" customHeight="1" x14ac:dyDescent="0.5">
      <c r="A10" s="90" t="s">
        <v>60</v>
      </c>
      <c r="B10" s="88">
        <v>106505</v>
      </c>
      <c r="C10" s="88">
        <f>SUM(C6:C9)</f>
        <v>153892</v>
      </c>
      <c r="D10" s="88">
        <f>SUM(D6:D9)</f>
        <v>98515</v>
      </c>
      <c r="I10" s="36"/>
    </row>
    <row r="11" spans="1:9" ht="25.5" customHeight="1" x14ac:dyDescent="0.55000000000000004">
      <c r="A11" s="93" t="s">
        <v>102</v>
      </c>
      <c r="B11" s="91"/>
      <c r="C11" s="91"/>
      <c r="D11" s="91"/>
      <c r="I11" s="36"/>
    </row>
    <row r="12" spans="1:9" ht="25.5" customHeight="1" x14ac:dyDescent="0.55000000000000004">
      <c r="A12" s="93" t="s">
        <v>103</v>
      </c>
      <c r="B12" s="91"/>
      <c r="C12" s="91"/>
      <c r="D12" s="91"/>
      <c r="I12" s="36"/>
    </row>
    <row r="13" spans="1:9" ht="25.5" customHeight="1" x14ac:dyDescent="0.55000000000000004">
      <c r="A13" s="87" t="s">
        <v>1</v>
      </c>
      <c r="B13" s="91">
        <v>325</v>
      </c>
      <c r="C13" s="91">
        <v>300</v>
      </c>
      <c r="D13" s="91">
        <v>325</v>
      </c>
      <c r="I13" s="36"/>
    </row>
    <row r="14" spans="1:9" ht="25.5" customHeight="1" x14ac:dyDescent="0.55000000000000004">
      <c r="A14" s="87" t="s">
        <v>2</v>
      </c>
      <c r="B14" s="91">
        <v>140</v>
      </c>
      <c r="C14" s="91">
        <f>37*2</f>
        <v>74</v>
      </c>
      <c r="D14" s="91">
        <v>140</v>
      </c>
      <c r="I14" s="36"/>
    </row>
    <row r="15" spans="1:9" ht="25.5" customHeight="1" x14ac:dyDescent="0.55000000000000004">
      <c r="A15" s="87" t="s">
        <v>21</v>
      </c>
      <c r="B15" s="91">
        <v>3600</v>
      </c>
      <c r="C15" s="91">
        <f>1250*2</f>
        <v>2500</v>
      </c>
      <c r="D15" s="91">
        <v>3600</v>
      </c>
      <c r="I15" s="36"/>
    </row>
    <row r="16" spans="1:9" ht="25.5" customHeight="1" x14ac:dyDescent="0.55000000000000004">
      <c r="A16" s="87" t="s">
        <v>17</v>
      </c>
      <c r="B16" s="91">
        <v>400</v>
      </c>
      <c r="C16" s="91">
        <v>62</v>
      </c>
      <c r="D16" s="91">
        <v>400</v>
      </c>
      <c r="I16" s="36"/>
    </row>
    <row r="17" spans="1:9" ht="25.5" customHeight="1" x14ac:dyDescent="0.55000000000000004">
      <c r="A17" s="87" t="s">
        <v>64</v>
      </c>
      <c r="B17" s="92">
        <v>2000</v>
      </c>
      <c r="C17" s="92">
        <v>1000</v>
      </c>
      <c r="D17" s="92">
        <v>2000</v>
      </c>
      <c r="I17" s="36"/>
    </row>
    <row r="18" spans="1:9" ht="25.5" customHeight="1" x14ac:dyDescent="0.5">
      <c r="A18" s="93" t="s">
        <v>109</v>
      </c>
      <c r="B18" s="88">
        <v>6465</v>
      </c>
      <c r="C18" s="88">
        <f>SUM(C13:C17)</f>
        <v>3936</v>
      </c>
      <c r="D18" s="88">
        <f>SUM(D13:D17)</f>
        <v>6465</v>
      </c>
      <c r="I18" s="36"/>
    </row>
    <row r="19" spans="1:9" ht="25.5" customHeight="1" x14ac:dyDescent="0.55000000000000004">
      <c r="A19" s="93" t="s">
        <v>104</v>
      </c>
      <c r="B19" s="91"/>
      <c r="C19" s="91"/>
      <c r="D19" s="91"/>
      <c r="I19" s="36"/>
    </row>
    <row r="20" spans="1:9" ht="25.5" customHeight="1" x14ac:dyDescent="0.55000000000000004">
      <c r="A20" s="87" t="s">
        <v>3</v>
      </c>
      <c r="B20" s="91">
        <v>13000</v>
      </c>
      <c r="C20" s="91">
        <v>12000</v>
      </c>
      <c r="D20" s="91">
        <v>13000</v>
      </c>
      <c r="I20" s="36"/>
    </row>
    <row r="21" spans="1:9" ht="25.5" customHeight="1" x14ac:dyDescent="0.55000000000000004">
      <c r="A21" s="87" t="s">
        <v>8</v>
      </c>
      <c r="B21" s="91">
        <v>8400</v>
      </c>
      <c r="C21" s="91">
        <v>7600</v>
      </c>
      <c r="D21" s="91">
        <f>700*12</f>
        <v>8400</v>
      </c>
      <c r="I21" s="36"/>
    </row>
    <row r="22" spans="1:9" ht="25.5" customHeight="1" x14ac:dyDescent="0.55000000000000004">
      <c r="A22" s="87" t="s">
        <v>138</v>
      </c>
      <c r="B22" s="91">
        <v>0</v>
      </c>
      <c r="C22" s="91">
        <v>3800</v>
      </c>
      <c r="D22" s="91">
        <v>1000</v>
      </c>
      <c r="I22" s="36"/>
    </row>
    <row r="23" spans="1:9" ht="25.5" customHeight="1" x14ac:dyDescent="0.55000000000000004">
      <c r="A23" s="87" t="s">
        <v>9</v>
      </c>
      <c r="B23" s="91">
        <v>1000</v>
      </c>
      <c r="C23" s="91">
        <v>200</v>
      </c>
      <c r="D23" s="91">
        <v>200</v>
      </c>
      <c r="I23" s="36"/>
    </row>
    <row r="24" spans="1:9" ht="25.5" customHeight="1" x14ac:dyDescent="0.55000000000000004">
      <c r="A24" s="87" t="s">
        <v>139</v>
      </c>
      <c r="B24" s="91">
        <v>0</v>
      </c>
      <c r="C24" s="91">
        <v>900</v>
      </c>
      <c r="D24" s="91">
        <v>1000</v>
      </c>
      <c r="I24" s="36"/>
    </row>
    <row r="25" spans="1:9" ht="25.5" customHeight="1" x14ac:dyDescent="0.55000000000000004">
      <c r="A25" s="87" t="s">
        <v>66</v>
      </c>
      <c r="B25" s="91">
        <v>2000</v>
      </c>
      <c r="C25" s="91">
        <v>1200</v>
      </c>
      <c r="D25" s="91">
        <v>1500</v>
      </c>
      <c r="I25" s="36"/>
    </row>
    <row r="26" spans="1:9" ht="25.5" customHeight="1" x14ac:dyDescent="0.55000000000000004">
      <c r="A26" s="87" t="s">
        <v>4</v>
      </c>
      <c r="B26" s="91">
        <v>2500</v>
      </c>
      <c r="C26" s="91">
        <v>7200</v>
      </c>
      <c r="D26" s="91">
        <v>2500</v>
      </c>
      <c r="I26" s="36"/>
    </row>
    <row r="27" spans="1:9" ht="25.5" customHeight="1" x14ac:dyDescent="0.55000000000000004">
      <c r="A27" s="87" t="s">
        <v>5</v>
      </c>
      <c r="B27" s="91">
        <v>5000</v>
      </c>
      <c r="C27" s="91">
        <v>2400</v>
      </c>
      <c r="D27" s="91">
        <v>2500</v>
      </c>
      <c r="I27" s="36"/>
    </row>
    <row r="28" spans="1:9" ht="25.5" customHeight="1" x14ac:dyDescent="0.55000000000000004">
      <c r="A28" s="87" t="s">
        <v>105</v>
      </c>
      <c r="B28" s="92">
        <v>1500</v>
      </c>
      <c r="C28" s="92">
        <v>1300</v>
      </c>
      <c r="D28" s="92">
        <v>1500</v>
      </c>
      <c r="I28" s="36"/>
    </row>
    <row r="29" spans="1:9" ht="25.5" customHeight="1" x14ac:dyDescent="0.5">
      <c r="A29" s="93" t="s">
        <v>110</v>
      </c>
      <c r="B29" s="88">
        <v>33400</v>
      </c>
      <c r="C29" s="88">
        <f>SUM(C20:C28)</f>
        <v>36600</v>
      </c>
      <c r="D29" s="88">
        <f>SUM(D20:D28)</f>
        <v>31600</v>
      </c>
      <c r="I29" s="36"/>
    </row>
    <row r="30" spans="1:9" ht="25.5" customHeight="1" x14ac:dyDescent="0.55000000000000004">
      <c r="A30" s="93" t="s">
        <v>106</v>
      </c>
      <c r="B30" s="91"/>
      <c r="C30" s="91"/>
      <c r="D30" s="91"/>
      <c r="I30" s="36"/>
    </row>
    <row r="31" spans="1:9" ht="25.5" customHeight="1" x14ac:dyDescent="0.55000000000000004">
      <c r="A31" s="87" t="s">
        <v>6</v>
      </c>
      <c r="B31" s="91">
        <v>8500</v>
      </c>
      <c r="C31" s="91">
        <v>6000</v>
      </c>
      <c r="D31" s="91">
        <v>6500</v>
      </c>
      <c r="I31" s="36"/>
    </row>
    <row r="32" spans="1:9" ht="25.5" customHeight="1" x14ac:dyDescent="0.55000000000000004">
      <c r="A32" s="87" t="s">
        <v>114</v>
      </c>
      <c r="B32" s="91">
        <v>100</v>
      </c>
      <c r="C32" s="91">
        <v>800</v>
      </c>
      <c r="D32" s="91">
        <v>1000</v>
      </c>
      <c r="I32" s="36"/>
    </row>
    <row r="33" spans="1:11" ht="25.5" customHeight="1" x14ac:dyDescent="0.55000000000000004">
      <c r="A33" s="87" t="s">
        <v>61</v>
      </c>
      <c r="B33" s="91">
        <v>2000</v>
      </c>
      <c r="C33" s="91">
        <v>3000</v>
      </c>
      <c r="D33" s="91">
        <v>3000</v>
      </c>
      <c r="I33" s="36"/>
    </row>
    <row r="34" spans="1:11" ht="25.5" customHeight="1" x14ac:dyDescent="0.55000000000000004">
      <c r="A34" s="87" t="s">
        <v>15</v>
      </c>
      <c r="B34" s="91">
        <v>2200</v>
      </c>
      <c r="C34" s="91">
        <v>2500</v>
      </c>
      <c r="D34" s="91">
        <v>2500</v>
      </c>
      <c r="I34" s="36"/>
    </row>
    <row r="35" spans="1:11" ht="25.5" customHeight="1" x14ac:dyDescent="0.55000000000000004">
      <c r="A35" s="87" t="s">
        <v>62</v>
      </c>
      <c r="B35" s="92">
        <v>1500</v>
      </c>
      <c r="C35" s="92">
        <v>0</v>
      </c>
      <c r="D35" s="92">
        <v>1500</v>
      </c>
      <c r="I35" s="36"/>
    </row>
    <row r="36" spans="1:11" ht="25.5" customHeight="1" x14ac:dyDescent="0.5">
      <c r="A36" s="93" t="s">
        <v>111</v>
      </c>
      <c r="B36" s="88">
        <v>14300</v>
      </c>
      <c r="C36" s="88">
        <f>SUM(C31:C35)</f>
        <v>12300</v>
      </c>
      <c r="D36" s="88">
        <f>SUM(D31:D35)</f>
        <v>14500</v>
      </c>
      <c r="I36" s="36"/>
    </row>
    <row r="37" spans="1:11" ht="25.5" customHeight="1" x14ac:dyDescent="0.55000000000000004">
      <c r="A37" s="93" t="s">
        <v>107</v>
      </c>
      <c r="B37" s="91"/>
      <c r="C37" s="91"/>
      <c r="D37" s="91"/>
      <c r="I37" s="36"/>
    </row>
    <row r="38" spans="1:11" ht="25.5" customHeight="1" x14ac:dyDescent="0.55000000000000004">
      <c r="A38" s="87" t="s">
        <v>12</v>
      </c>
      <c r="B38" s="91">
        <v>9200</v>
      </c>
      <c r="C38" s="91">
        <f>4340*2</f>
        <v>8680</v>
      </c>
      <c r="D38" s="91">
        <v>8800</v>
      </c>
      <c r="I38" s="36"/>
    </row>
    <row r="39" spans="1:11" ht="25.5" customHeight="1" x14ac:dyDescent="0.55000000000000004">
      <c r="A39" s="87" t="s">
        <v>13</v>
      </c>
      <c r="B39" s="91">
        <v>8200</v>
      </c>
      <c r="C39" s="91">
        <v>5800</v>
      </c>
      <c r="D39" s="91">
        <v>5800</v>
      </c>
      <c r="I39" s="36"/>
    </row>
    <row r="40" spans="1:11" ht="25.5" customHeight="1" x14ac:dyDescent="0.55000000000000004">
      <c r="A40" s="87" t="s">
        <v>14</v>
      </c>
      <c r="B40" s="92">
        <v>4700</v>
      </c>
      <c r="C40" s="92">
        <v>3400</v>
      </c>
      <c r="D40" s="92">
        <v>3000</v>
      </c>
      <c r="I40" s="36"/>
    </row>
    <row r="41" spans="1:11" ht="25.5" customHeight="1" x14ac:dyDescent="0.5">
      <c r="A41" s="93" t="s">
        <v>112</v>
      </c>
      <c r="B41" s="88">
        <v>22100</v>
      </c>
      <c r="C41" s="88">
        <f>SUM(C38:C40)</f>
        <v>17880</v>
      </c>
      <c r="D41" s="88">
        <f>SUM(D38:D40)</f>
        <v>17600</v>
      </c>
      <c r="I41" s="36"/>
    </row>
    <row r="42" spans="1:11" ht="25.5" customHeight="1" x14ac:dyDescent="0.5">
      <c r="A42" s="93" t="s">
        <v>129</v>
      </c>
      <c r="B42" s="88">
        <v>0</v>
      </c>
      <c r="C42" s="88">
        <f>1483*12</f>
        <v>17796</v>
      </c>
      <c r="D42" s="88">
        <v>0</v>
      </c>
      <c r="I42" s="36"/>
    </row>
    <row r="43" spans="1:11" ht="25.5" customHeight="1" x14ac:dyDescent="0.55000000000000004">
      <c r="A43" s="93" t="s">
        <v>108</v>
      </c>
      <c r="B43" s="91"/>
      <c r="C43" s="91"/>
      <c r="D43" s="91"/>
      <c r="I43" s="36"/>
    </row>
    <row r="44" spans="1:11" ht="25.5" customHeight="1" x14ac:dyDescent="0.55000000000000004">
      <c r="A44" s="87" t="s">
        <v>115</v>
      </c>
      <c r="B44" s="91">
        <v>30240</v>
      </c>
      <c r="C44" s="91">
        <v>26000</v>
      </c>
      <c r="D44" s="91">
        <v>28000</v>
      </c>
      <c r="I44" s="36"/>
    </row>
    <row r="45" spans="1:11" ht="25.5" customHeight="1" x14ac:dyDescent="0.5">
      <c r="A45" s="93" t="s">
        <v>113</v>
      </c>
      <c r="B45" s="88">
        <v>30240</v>
      </c>
      <c r="C45" s="88">
        <f>SUM(C44:C44)</f>
        <v>26000</v>
      </c>
      <c r="D45" s="88">
        <f>SUM(D44:D44)</f>
        <v>28000</v>
      </c>
      <c r="I45" s="36"/>
    </row>
    <row r="46" spans="1:11" ht="25.5" customHeight="1" x14ac:dyDescent="0.5">
      <c r="A46" s="93" t="s">
        <v>23</v>
      </c>
      <c r="B46" s="88">
        <v>106505</v>
      </c>
      <c r="C46" s="88">
        <f>SUM(C45+C41+C36+C29+C18+C42)</f>
        <v>114512</v>
      </c>
      <c r="D46" s="88">
        <f>D18+D29+D36+D41+D45</f>
        <v>98165</v>
      </c>
      <c r="I46" s="36"/>
    </row>
    <row r="47" spans="1:11" ht="31.2" thickBot="1" x14ac:dyDescent="0.6">
      <c r="A47" s="87"/>
      <c r="B47" s="91"/>
      <c r="C47" s="91"/>
      <c r="D47" s="91"/>
    </row>
    <row r="48" spans="1:11" s="48" customFormat="1" ht="30" x14ac:dyDescent="0.5">
      <c r="A48" s="94" t="s">
        <v>41</v>
      </c>
      <c r="B48" s="95" t="s">
        <v>65</v>
      </c>
      <c r="C48" s="96" t="s">
        <v>131</v>
      </c>
      <c r="D48" s="97"/>
      <c r="G48" s="49"/>
      <c r="H48" s="50"/>
      <c r="I48" s="49"/>
      <c r="J48" s="49"/>
      <c r="K48" s="49"/>
    </row>
    <row r="49" spans="1:11" s="48" customFormat="1" ht="36" customHeight="1" x14ac:dyDescent="0.55000000000000004">
      <c r="A49" s="98" t="s">
        <v>33</v>
      </c>
      <c r="B49" s="99">
        <v>5.1139999999999998E-2</v>
      </c>
      <c r="C49" s="100">
        <f>SUM(D46*B49)/12</f>
        <v>418.3465083333333</v>
      </c>
      <c r="D49" s="91">
        <f>C49*6*12</f>
        <v>30120.948599999996</v>
      </c>
      <c r="E49" s="57"/>
      <c r="F49" s="57"/>
      <c r="G49" s="47"/>
      <c r="H49" s="50">
        <f>SUM(C49*6*12)</f>
        <v>30120.948599999996</v>
      </c>
      <c r="I49" s="47"/>
      <c r="J49" s="47"/>
      <c r="K49" s="47"/>
    </row>
    <row r="50" spans="1:11" s="48" customFormat="1" ht="36" customHeight="1" x14ac:dyDescent="0.55000000000000004">
      <c r="A50" s="98" t="s">
        <v>34</v>
      </c>
      <c r="B50" s="99">
        <v>5.679E-2</v>
      </c>
      <c r="C50" s="100">
        <f>SUM(D46*B50)/12</f>
        <v>464.56586250000004</v>
      </c>
      <c r="D50" s="91">
        <f>C50*6*12</f>
        <v>33448.742100000003</v>
      </c>
      <c r="E50" s="57"/>
      <c r="F50" s="57"/>
      <c r="G50" s="47"/>
      <c r="H50" s="50">
        <f>SUM(C50*6*12)</f>
        <v>33448.742100000003</v>
      </c>
      <c r="I50" s="47"/>
      <c r="J50" s="47"/>
      <c r="K50" s="47"/>
    </row>
    <row r="51" spans="1:11" s="48" customFormat="1" ht="36" customHeight="1" x14ac:dyDescent="0.55000000000000004">
      <c r="A51" s="98" t="s">
        <v>35</v>
      </c>
      <c r="B51" s="99">
        <v>5.5509999999999997E-2</v>
      </c>
      <c r="C51" s="100">
        <f>SUM(D46*B51)/12</f>
        <v>454.09492916666665</v>
      </c>
      <c r="D51" s="91">
        <f>C51*3*12</f>
        <v>16347.417450000001</v>
      </c>
      <c r="E51" s="57"/>
      <c r="F51" s="57"/>
      <c r="G51" s="47"/>
      <c r="H51" s="50">
        <f>SUM(C51*3*12)</f>
        <v>16347.417450000001</v>
      </c>
      <c r="I51" s="47"/>
      <c r="J51" s="47"/>
      <c r="K51" s="47"/>
    </row>
    <row r="52" spans="1:11" s="48" customFormat="1" ht="36" customHeight="1" x14ac:dyDescent="0.55000000000000004">
      <c r="A52" s="101" t="s">
        <v>36</v>
      </c>
      <c r="B52" s="99">
        <v>5.7230000000000003E-2</v>
      </c>
      <c r="C52" s="100">
        <f>SUM(D46*B52)/12</f>
        <v>468.16524583333336</v>
      </c>
      <c r="D52" s="91">
        <f>C52*12</f>
        <v>5617.9829500000005</v>
      </c>
      <c r="E52" s="57"/>
      <c r="F52" s="57"/>
      <c r="G52" s="47"/>
      <c r="H52" s="50">
        <f>SUM(C52*1*12)</f>
        <v>5617.9829500000005</v>
      </c>
      <c r="I52" s="47"/>
      <c r="J52" s="47"/>
      <c r="K52" s="47"/>
    </row>
    <row r="53" spans="1:11" s="48" customFormat="1" ht="36" customHeight="1" x14ac:dyDescent="0.55000000000000004">
      <c r="A53" s="101" t="s">
        <v>92</v>
      </c>
      <c r="B53" s="99">
        <v>5.9200000000000003E-2</v>
      </c>
      <c r="C53" s="100">
        <f>SUM(D46*B53)/12</f>
        <v>484.28066666666672</v>
      </c>
      <c r="D53" s="91">
        <f>C53*12</f>
        <v>5811.3680000000004</v>
      </c>
      <c r="E53" s="57"/>
      <c r="F53" s="57"/>
      <c r="G53" s="47"/>
      <c r="H53" s="50">
        <f>SUM(C53*12)</f>
        <v>5811.3680000000004</v>
      </c>
      <c r="I53" s="47"/>
      <c r="J53" s="47"/>
      <c r="K53" s="47"/>
    </row>
    <row r="54" spans="1:11" s="48" customFormat="1" ht="36" customHeight="1" thickBot="1" x14ac:dyDescent="0.6">
      <c r="A54" s="102" t="s">
        <v>38</v>
      </c>
      <c r="B54" s="103">
        <v>6.9459999999999994E-2</v>
      </c>
      <c r="C54" s="104">
        <f>SUM(D46*B54)/12</f>
        <v>568.21174166666663</v>
      </c>
      <c r="D54" s="91">
        <f>C54*12</f>
        <v>6818.5409</v>
      </c>
      <c r="E54" s="57"/>
      <c r="F54" s="57"/>
      <c r="G54" s="47"/>
      <c r="H54" s="50">
        <f>SUM(C54*12)</f>
        <v>6818.5409</v>
      </c>
      <c r="I54" s="47"/>
      <c r="J54" s="47"/>
      <c r="K54" s="47"/>
    </row>
    <row r="55" spans="1:11" x14ac:dyDescent="0.4">
      <c r="B55" s="37"/>
      <c r="D55" s="41">
        <f>SUM(D49:D54)</f>
        <v>98165</v>
      </c>
      <c r="F55" s="58"/>
      <c r="H55" s="41">
        <f>SUM(H49:H54)</f>
        <v>98165</v>
      </c>
    </row>
    <row r="56" spans="1:11" x14ac:dyDescent="0.4">
      <c r="I56" s="41"/>
    </row>
    <row r="60" spans="1:11" x14ac:dyDescent="0.4">
      <c r="I60" s="41"/>
    </row>
  </sheetData>
  <mergeCells count="2">
    <mergeCell ref="A1:D1"/>
    <mergeCell ref="A2:D2"/>
  </mergeCells>
  <phoneticPr fontId="4" type="noConversion"/>
  <pageMargins left="0.25" right="0.25" top="0.75" bottom="0.75" header="0.3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22</vt:i4>
      </vt:variant>
    </vt:vector>
  </HeadingPairs>
  <TitlesOfParts>
    <vt:vector size="47" baseType="lpstr">
      <vt:lpstr>2015</vt:lpstr>
      <vt:lpstr>2016</vt:lpstr>
      <vt:lpstr>reserves 2016</vt:lpstr>
      <vt:lpstr>assessment 2015</vt:lpstr>
      <vt:lpstr>2017</vt:lpstr>
      <vt:lpstr>reserves 2017</vt:lpstr>
      <vt:lpstr>Budget 2018</vt:lpstr>
      <vt:lpstr>Reserves 2018</vt:lpstr>
      <vt:lpstr>Budget 2019</vt:lpstr>
      <vt:lpstr>Reserves 2019</vt:lpstr>
      <vt:lpstr>Budget 2020</vt:lpstr>
      <vt:lpstr>Reserves 2020</vt:lpstr>
      <vt:lpstr>Budget 2021</vt:lpstr>
      <vt:lpstr>Reserves 2021</vt:lpstr>
      <vt:lpstr>assessment 2021</vt:lpstr>
      <vt:lpstr>Budget 2022</vt:lpstr>
      <vt:lpstr>Reserves 2022</vt:lpstr>
      <vt:lpstr>assessment 2022</vt:lpstr>
      <vt:lpstr>Budget 2023</vt:lpstr>
      <vt:lpstr>Reserves 2023</vt:lpstr>
      <vt:lpstr>assessment 2023</vt:lpstr>
      <vt:lpstr>Reserves 2024</vt:lpstr>
      <vt:lpstr>Budget 2024</vt:lpstr>
      <vt:lpstr>budget 2025</vt:lpstr>
      <vt:lpstr>Reserves 2025</vt:lpstr>
      <vt:lpstr>'2016'!Print_Area</vt:lpstr>
      <vt:lpstr>'2017'!Print_Area</vt:lpstr>
      <vt:lpstr>'assessment 2015'!Print_Area</vt:lpstr>
      <vt:lpstr>'assessment 2021'!Print_Area</vt:lpstr>
      <vt:lpstr>'assessment 2022'!Print_Area</vt:lpstr>
      <vt:lpstr>'assessment 2023'!Print_Area</vt:lpstr>
      <vt:lpstr>'Budget 2018'!Print_Area</vt:lpstr>
      <vt:lpstr>'Budget 2019'!Print_Area</vt:lpstr>
      <vt:lpstr>'Budget 2020'!Print_Area</vt:lpstr>
      <vt:lpstr>'Budget 2021'!Print_Area</vt:lpstr>
      <vt:lpstr>'Budget 2022'!Print_Area</vt:lpstr>
      <vt:lpstr>'Budget 2023'!Print_Area</vt:lpstr>
      <vt:lpstr>'Budget 2024'!Print_Area</vt:lpstr>
      <vt:lpstr>'budget 2025'!Print_Area</vt:lpstr>
      <vt:lpstr>'reserves 2016'!Print_Area</vt:lpstr>
      <vt:lpstr>'reserves 2017'!Print_Area</vt:lpstr>
      <vt:lpstr>'Reserves 2018'!Print_Area</vt:lpstr>
      <vt:lpstr>'Reserves 2019'!Print_Area</vt:lpstr>
      <vt:lpstr>'Reserves 2020'!Print_Area</vt:lpstr>
      <vt:lpstr>'Reserves 2021'!Print_Area</vt:lpstr>
      <vt:lpstr>'Reserves 2022'!Print_Area</vt:lpstr>
      <vt:lpstr>'Reserves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BENJOAR</dc:creator>
  <cp:lastModifiedBy>jamie blum</cp:lastModifiedBy>
  <cp:lastPrinted>2023-10-13T13:47:05Z</cp:lastPrinted>
  <dcterms:created xsi:type="dcterms:W3CDTF">2014-11-27T18:24:30Z</dcterms:created>
  <dcterms:modified xsi:type="dcterms:W3CDTF">2025-02-27T22:13:45Z</dcterms:modified>
</cp:coreProperties>
</file>