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https://d.docs.live.net/c64690517dddf648/Desktop/"/>
    </mc:Choice>
  </mc:AlternateContent>
  <xr:revisionPtr revIDLastSave="0" documentId="8_{2BA0025B-8552-4E5C-8BCA-5E6FD87DF577}" xr6:coauthVersionLast="47" xr6:coauthVersionMax="47" xr10:uidLastSave="{00000000-0000-0000-0000-000000000000}"/>
  <bookViews>
    <workbookView xWindow="-108" yWindow="-108" windowWidth="23256" windowHeight="13896" firstSheet="6" activeTab="8" xr2:uid="{00000000-000D-0000-FFFF-FFFF00000000}"/>
  </bookViews>
  <sheets>
    <sheet name="Budget 2020" sheetId="16" r:id="rId1"/>
    <sheet name="reserves 2020" sheetId="17" r:id="rId2"/>
    <sheet name="Budget 2021" sheetId="18" r:id="rId3"/>
    <sheet name="reserves 2021" sheetId="19" r:id="rId4"/>
    <sheet name="Budget 2022" sheetId="20" r:id="rId5"/>
    <sheet name="reserves 2022" sheetId="21" r:id="rId6"/>
    <sheet name="Budget 2023" sheetId="22" r:id="rId7"/>
    <sheet name="reserves 2023" sheetId="23" r:id="rId8"/>
    <sheet name="Budget 2024" sheetId="24" r:id="rId9"/>
    <sheet name="reserves 2024" sheetId="25" r:id="rId10"/>
    <sheet name="Sheet2" sheetId="2" state="hidden" r:id="rId11"/>
    <sheet name="Sheet3" sheetId="3" state="hidden" r:id="rId12"/>
  </sheets>
  <definedNames>
    <definedName name="_xlnm.Print_Area" localSheetId="0">'Budget 2020'!$A$1:$I$42</definedName>
    <definedName name="_xlnm.Print_Area" localSheetId="2">'Budget 2021'!$A$1:$I$40</definedName>
    <definedName name="_xlnm.Print_Area" localSheetId="4">'Budget 2022'!$A$1:$I$40</definedName>
    <definedName name="_xlnm.Print_Area" localSheetId="6">'Budget 2023'!$A$1:$I$39</definedName>
    <definedName name="_xlnm.Print_Area" localSheetId="8">'Budget 2024'!$A$1:$I$41</definedName>
    <definedName name="_xlnm.Print_Area" localSheetId="1">'reserves 2020'!$A$1:$H$17</definedName>
    <definedName name="_xlnm.Print_Area" localSheetId="3">'reserves 2021'!$A$1:$I$17</definedName>
    <definedName name="_xlnm.Print_Area" localSheetId="5">'reserves 2022'!$A$1:$I$17</definedName>
    <definedName name="_xlnm.Print_Area" localSheetId="7">'reserves 2023'!$A$1:$I$17</definedName>
    <definedName name="_xlnm.Print_Area" localSheetId="9">'reserves 2024'!$A$1:$I$17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2" i="25" l="1"/>
  <c r="I9" i="24"/>
  <c r="H14" i="25"/>
  <c r="G14" i="25"/>
  <c r="I10" i="25"/>
  <c r="I9" i="25"/>
  <c r="I8" i="25"/>
  <c r="I7" i="25"/>
  <c r="I6" i="25"/>
  <c r="N16" i="25"/>
  <c r="N15" i="25"/>
  <c r="N14" i="25"/>
  <c r="M10" i="25"/>
  <c r="M9" i="25"/>
  <c r="M8" i="25"/>
  <c r="M7" i="25"/>
  <c r="M6" i="25"/>
  <c r="M18" i="25"/>
  <c r="K16" i="25"/>
  <c r="L16" i="25"/>
  <c r="M16" i="25"/>
  <c r="M15" i="25"/>
  <c r="M14" i="25"/>
  <c r="L15" i="25"/>
  <c r="L14" i="25"/>
  <c r="K15" i="25"/>
  <c r="K14" i="25"/>
  <c r="L10" i="25"/>
  <c r="L9" i="25"/>
  <c r="L8" i="25"/>
  <c r="L7" i="25"/>
  <c r="L6" i="25"/>
  <c r="E7" i="25"/>
  <c r="E8" i="25"/>
  <c r="E9" i="25"/>
  <c r="E10" i="25"/>
  <c r="E6" i="25"/>
  <c r="P27" i="24"/>
  <c r="O22" i="24"/>
  <c r="K37" i="24"/>
  <c r="L23" i="24"/>
  <c r="J8" i="25"/>
  <c r="M11" i="25" l="1"/>
  <c r="K10" i="25"/>
  <c r="K8" i="25"/>
  <c r="N11" i="25"/>
  <c r="J23" i="25"/>
  <c r="G22" i="25"/>
  <c r="G21" i="25"/>
  <c r="D11" i="25"/>
  <c r="C11" i="25"/>
  <c r="G11" i="25" s="1"/>
  <c r="G10" i="25"/>
  <c r="H10" i="25" s="1"/>
  <c r="J10" i="25" s="1"/>
  <c r="G9" i="25"/>
  <c r="H9" i="25" s="1"/>
  <c r="G7" i="25"/>
  <c r="H7" i="25" s="1"/>
  <c r="G6" i="25"/>
  <c r="H6" i="25" s="1"/>
  <c r="J6" i="25" s="1"/>
  <c r="I33" i="24"/>
  <c r="I35" i="24" s="1"/>
  <c r="I38" i="24" s="1"/>
  <c r="K8" i="24" s="1"/>
  <c r="H33" i="24"/>
  <c r="H35" i="24" s="1"/>
  <c r="G33" i="24"/>
  <c r="G35" i="24" s="1"/>
  <c r="G38" i="24" s="1"/>
  <c r="L29" i="24"/>
  <c r="N11" i="24"/>
  <c r="O11" i="24" s="1"/>
  <c r="K11" i="24"/>
  <c r="N10" i="24"/>
  <c r="O10" i="24" s="1"/>
  <c r="N9" i="24"/>
  <c r="K5" i="24"/>
  <c r="G11" i="24"/>
  <c r="J23" i="23"/>
  <c r="K15" i="23"/>
  <c r="L27" i="22"/>
  <c r="L24" i="22"/>
  <c r="I10" i="22"/>
  <c r="I33" i="22"/>
  <c r="D14" i="23"/>
  <c r="E11" i="23"/>
  <c r="E6" i="23"/>
  <c r="H9" i="22"/>
  <c r="H35" i="22"/>
  <c r="H31" i="22"/>
  <c r="G22" i="23"/>
  <c r="G21" i="23"/>
  <c r="K12" i="23"/>
  <c r="D11" i="23"/>
  <c r="C11" i="23"/>
  <c r="I31" i="22"/>
  <c r="G31" i="22"/>
  <c r="G33" i="22" s="1"/>
  <c r="G36" i="22" s="1"/>
  <c r="H33" i="22"/>
  <c r="N11" i="22"/>
  <c r="O11" i="22" s="1"/>
  <c r="K11" i="22"/>
  <c r="H11" i="22"/>
  <c r="N10" i="22"/>
  <c r="O10" i="22" s="1"/>
  <c r="N9" i="22"/>
  <c r="K5" i="22"/>
  <c r="G5" i="22"/>
  <c r="G11" i="22" s="1"/>
  <c r="J11" i="21"/>
  <c r="I11" i="21"/>
  <c r="I10" i="21"/>
  <c r="I9" i="21"/>
  <c r="I8" i="21"/>
  <c r="I7" i="21"/>
  <c r="I6" i="21"/>
  <c r="E11" i="21"/>
  <c r="E6" i="21"/>
  <c r="G6" i="21"/>
  <c r="H6" i="21"/>
  <c r="I10" i="20"/>
  <c r="K12" i="21"/>
  <c r="G22" i="21"/>
  <c r="G21" i="21"/>
  <c r="E7" i="21"/>
  <c r="G7" i="21"/>
  <c r="H7" i="21"/>
  <c r="E8" i="21"/>
  <c r="G8" i="21"/>
  <c r="H8" i="21"/>
  <c r="E9" i="21"/>
  <c r="G9" i="21"/>
  <c r="H9" i="21"/>
  <c r="C14" i="21"/>
  <c r="C11" i="21"/>
  <c r="D11" i="21"/>
  <c r="I32" i="20"/>
  <c r="I34" i="20"/>
  <c r="I37" i="20"/>
  <c r="H17" i="20"/>
  <c r="H32" i="20"/>
  <c r="H34" i="20"/>
  <c r="H37" i="20"/>
  <c r="G32" i="20"/>
  <c r="G34" i="20"/>
  <c r="G37" i="20"/>
  <c r="L36" i="20"/>
  <c r="K5" i="20"/>
  <c r="L33" i="20"/>
  <c r="K11" i="20"/>
  <c r="K12" i="20"/>
  <c r="N11" i="20"/>
  <c r="O11" i="20"/>
  <c r="I5" i="20"/>
  <c r="I9" i="20"/>
  <c r="I11" i="20"/>
  <c r="H11" i="20"/>
  <c r="G5" i="20"/>
  <c r="G11" i="20"/>
  <c r="N10" i="20"/>
  <c r="O10" i="20"/>
  <c r="N9" i="20"/>
  <c r="K13" i="19"/>
  <c r="L36" i="18"/>
  <c r="I9" i="18"/>
  <c r="L19" i="16"/>
  <c r="L18" i="16"/>
  <c r="G22" i="19"/>
  <c r="G21" i="19"/>
  <c r="C14" i="19"/>
  <c r="I10" i="18"/>
  <c r="L33" i="18"/>
  <c r="E11" i="19"/>
  <c r="E6" i="19"/>
  <c r="G6" i="19"/>
  <c r="H6" i="19"/>
  <c r="E7" i="19"/>
  <c r="G7" i="19"/>
  <c r="H7" i="19"/>
  <c r="E8" i="19"/>
  <c r="G8" i="19"/>
  <c r="H8" i="19"/>
  <c r="E9" i="19"/>
  <c r="G9" i="19"/>
  <c r="H9" i="19"/>
  <c r="E10" i="19"/>
  <c r="G10" i="19"/>
  <c r="H10" i="19"/>
  <c r="H11" i="19"/>
  <c r="I11" i="19"/>
  <c r="G14" i="19"/>
  <c r="I7" i="19"/>
  <c r="I8" i="19"/>
  <c r="I9" i="19"/>
  <c r="I10" i="19"/>
  <c r="I6" i="19"/>
  <c r="D14" i="19"/>
  <c r="E14" i="19"/>
  <c r="I11" i="18"/>
  <c r="I34" i="18"/>
  <c r="I37" i="18"/>
  <c r="H32" i="18"/>
  <c r="H21" i="18"/>
  <c r="H17" i="18"/>
  <c r="K11" i="18"/>
  <c r="H9" i="18"/>
  <c r="K12" i="18"/>
  <c r="H5" i="18"/>
  <c r="G36" i="18"/>
  <c r="G32" i="18"/>
  <c r="G34" i="18"/>
  <c r="G37" i="18"/>
  <c r="G5" i="18"/>
  <c r="G11" i="18"/>
  <c r="D11" i="19"/>
  <c r="C11" i="19"/>
  <c r="G11" i="19"/>
  <c r="K5" i="18"/>
  <c r="H34" i="18"/>
  <c r="H37" i="18"/>
  <c r="I32" i="18"/>
  <c r="N11" i="18"/>
  <c r="O11" i="18"/>
  <c r="H11" i="18"/>
  <c r="N10" i="18"/>
  <c r="O10" i="18"/>
  <c r="N9" i="18"/>
  <c r="I5" i="18"/>
  <c r="O11" i="16"/>
  <c r="O10" i="16"/>
  <c r="N11" i="16"/>
  <c r="N10" i="16"/>
  <c r="N9" i="16"/>
  <c r="E6" i="17"/>
  <c r="G6" i="17"/>
  <c r="H6" i="17"/>
  <c r="E7" i="17"/>
  <c r="G7" i="17"/>
  <c r="H7" i="17"/>
  <c r="E8" i="17"/>
  <c r="G8" i="17"/>
  <c r="H8" i="17"/>
  <c r="E9" i="17"/>
  <c r="G9" i="17"/>
  <c r="H9" i="17"/>
  <c r="E10" i="17"/>
  <c r="G10" i="17"/>
  <c r="H10" i="17"/>
  <c r="H11" i="17"/>
  <c r="I13" i="17"/>
  <c r="K5" i="16"/>
  <c r="I37" i="16"/>
  <c r="I39" i="16"/>
  <c r="I41" i="16"/>
  <c r="I42" i="16"/>
  <c r="I9" i="16"/>
  <c r="I10" i="16"/>
  <c r="I5" i="16"/>
  <c r="I11" i="16"/>
  <c r="C11" i="17"/>
  <c r="G11" i="17"/>
  <c r="D11" i="17"/>
  <c r="H39" i="16"/>
  <c r="H42" i="16"/>
  <c r="G39" i="16"/>
  <c r="G42" i="16"/>
  <c r="H11" i="16"/>
  <c r="G11" i="16"/>
  <c r="G11" i="21"/>
  <c r="E10" i="21"/>
  <c r="G10" i="21"/>
  <c r="H10" i="21"/>
  <c r="H11" i="21"/>
  <c r="D14" i="21"/>
  <c r="E14" i="21"/>
  <c r="G14" i="21"/>
  <c r="H14" i="21"/>
  <c r="K13" i="21"/>
  <c r="K34" i="24" l="1"/>
  <c r="K6" i="25"/>
  <c r="J7" i="25"/>
  <c r="K7" i="25"/>
  <c r="J9" i="25"/>
  <c r="H11" i="25"/>
  <c r="D14" i="25" s="1"/>
  <c r="E14" i="25" s="1"/>
  <c r="K9" i="25"/>
  <c r="L26" i="24"/>
  <c r="I11" i="24"/>
  <c r="L11" i="25"/>
  <c r="H37" i="24"/>
  <c r="H38" i="24" s="1"/>
  <c r="H11" i="24"/>
  <c r="L37" i="24"/>
  <c r="L34" i="24"/>
  <c r="L31" i="24"/>
  <c r="K12" i="24"/>
  <c r="L35" i="22"/>
  <c r="L29" i="22"/>
  <c r="L32" i="22"/>
  <c r="K12" i="22"/>
  <c r="H36" i="22"/>
  <c r="E9" i="23"/>
  <c r="G9" i="23" s="1"/>
  <c r="H9" i="23" s="1"/>
  <c r="I9" i="23" s="1"/>
  <c r="E10" i="23"/>
  <c r="G10" i="23" s="1"/>
  <c r="H10" i="23" s="1"/>
  <c r="I10" i="23" s="1"/>
  <c r="G11" i="23"/>
  <c r="G6" i="23"/>
  <c r="H6" i="23" s="1"/>
  <c r="E7" i="23"/>
  <c r="G7" i="23" s="1"/>
  <c r="H7" i="23" s="1"/>
  <c r="I7" i="23" s="1"/>
  <c r="K11" i="25" l="1"/>
  <c r="I11" i="25"/>
  <c r="I6" i="23"/>
  <c r="J16" i="25" l="1"/>
  <c r="E14" i="23"/>
  <c r="I35" i="22"/>
  <c r="I36" i="22" s="1"/>
  <c r="G14" i="23"/>
  <c r="H14" i="23" s="1"/>
  <c r="I9" i="22"/>
  <c r="I11" i="22" s="1"/>
  <c r="K13" i="23"/>
  <c r="J11" i="25" l="1"/>
  <c r="N9" i="25"/>
  <c r="G8" i="25" l="1"/>
  <c r="J11" i="23"/>
  <c r="K8" i="23"/>
  <c r="K11" i="23"/>
  <c r="E8" i="23"/>
  <c r="G8" i="23"/>
  <c r="H8" i="23"/>
  <c r="I8" i="23"/>
  <c r="K6" i="23"/>
</calcChain>
</file>

<file path=xl/sharedStrings.xml><?xml version="1.0" encoding="utf-8"?>
<sst xmlns="http://schemas.openxmlformats.org/spreadsheetml/2006/main" count="370" uniqueCount="109">
  <si>
    <t>Income</t>
  </si>
  <si>
    <t>Interest Income</t>
  </si>
  <si>
    <t>Late Fee Income</t>
  </si>
  <si>
    <t>Maintenance Income</t>
  </si>
  <si>
    <t>Total Income</t>
  </si>
  <si>
    <t>Expense</t>
  </si>
  <si>
    <t>Office Supplies</t>
  </si>
  <si>
    <t>Total Expense</t>
  </si>
  <si>
    <t>BUDGET</t>
  </si>
  <si>
    <t>Proposed BUDGET</t>
  </si>
  <si>
    <t>Actual Expenses</t>
  </si>
  <si>
    <t>2020 Budget</t>
  </si>
  <si>
    <t>Dock Fees</t>
  </si>
  <si>
    <t>Laundry Income</t>
  </si>
  <si>
    <t>Electric</t>
  </si>
  <si>
    <t>Sewage and Water</t>
  </si>
  <si>
    <t>Sanitation</t>
  </si>
  <si>
    <t>Dryer Gas</t>
  </si>
  <si>
    <t>Pool Service</t>
  </si>
  <si>
    <t>Insurance</t>
  </si>
  <si>
    <t>Lawn Service</t>
  </si>
  <si>
    <t xml:space="preserve">Janitorial </t>
  </si>
  <si>
    <t>Pest Control</t>
  </si>
  <si>
    <t>Dock Maintence</t>
  </si>
  <si>
    <t>Patio Repairs</t>
  </si>
  <si>
    <t>Roof Repairs</t>
  </si>
  <si>
    <t>Plumbing Repairs</t>
  </si>
  <si>
    <t>Cleaning Supplies</t>
  </si>
  <si>
    <t>Repairs to Washer/Dryer</t>
  </si>
  <si>
    <t>Legal</t>
  </si>
  <si>
    <t>Grill Maintenance/Gas</t>
  </si>
  <si>
    <t>License/Taxes</t>
  </si>
  <si>
    <t>Landscaping</t>
  </si>
  <si>
    <t>Sprinkler Repairs</t>
  </si>
  <si>
    <t>Termite Warranty</t>
  </si>
  <si>
    <t>Weed and Feed</t>
  </si>
  <si>
    <t>Management Fee</t>
  </si>
  <si>
    <t>Bad Debt</t>
  </si>
  <si>
    <t>Building Repairs</t>
  </si>
  <si>
    <t>Reserves</t>
  </si>
  <si>
    <t>Total Expenses</t>
  </si>
  <si>
    <t>Supluse in Operating Acct</t>
  </si>
  <si>
    <t>Item</t>
  </si>
  <si>
    <t>Estimated</t>
  </si>
  <si>
    <t>% Per Each</t>
  </si>
  <si>
    <t xml:space="preserve">Money in </t>
  </si>
  <si>
    <t>Years left</t>
  </si>
  <si>
    <t xml:space="preserve">Amount </t>
  </si>
  <si>
    <t>Required</t>
  </si>
  <si>
    <t>Life</t>
  </si>
  <si>
    <t>Cost</t>
  </si>
  <si>
    <t>Reserve</t>
  </si>
  <si>
    <t xml:space="preserve">for </t>
  </si>
  <si>
    <t>Account</t>
  </si>
  <si>
    <t>Replacement</t>
  </si>
  <si>
    <t>for Life</t>
  </si>
  <si>
    <t>Full Reserves</t>
  </si>
  <si>
    <t>Painting</t>
  </si>
  <si>
    <t>Roof</t>
  </si>
  <si>
    <t>Paving/Maintenance</t>
  </si>
  <si>
    <t>Pool</t>
  </si>
  <si>
    <t>Total</t>
  </si>
  <si>
    <t>Unit Dues</t>
  </si>
  <si>
    <t>*The Florida Statues require the Board of Directors to adopt a budget with full reserves.  The unit owners at a duly called meeting, may vote against the funding of full reserves or may opt to vote for reserves "less than adequate", (Partial Reserves)</t>
  </si>
  <si>
    <t>Villa Rio Condominium Association, Inc Reserves 2020</t>
  </si>
  <si>
    <t>Docks</t>
  </si>
  <si>
    <t>Unit Per Quarter withreserves</t>
  </si>
  <si>
    <t>Villa Rio Condominium Association, Inc Reserves 2021</t>
  </si>
  <si>
    <t>2021 Budget</t>
  </si>
  <si>
    <t>Assessment</t>
  </si>
  <si>
    <t xml:space="preserve">With Full Reseres </t>
  </si>
  <si>
    <t>Maintenance Fees Quarterly with Full Reserves</t>
  </si>
  <si>
    <t>Repayment on Reserves from 2020</t>
  </si>
  <si>
    <t>Docks/Seawall</t>
  </si>
  <si>
    <t>25% reserves</t>
  </si>
  <si>
    <t>Quarterly fees are $783 per Unit without reserves for 2021</t>
  </si>
  <si>
    <t>Partial Reserves at 25%</t>
  </si>
  <si>
    <t>2022 Propsed Budget</t>
  </si>
  <si>
    <t>Estd. Expenses</t>
  </si>
  <si>
    <t>Unit Per Quarter with reserves</t>
  </si>
  <si>
    <t>Villa Rio Condominium Association, Inc Reserves 2022</t>
  </si>
  <si>
    <t>2022 Budget</t>
  </si>
  <si>
    <t>Maintenance Fees Quarterly with Partial (30%) Reserves</t>
  </si>
  <si>
    <t>30% reserves</t>
  </si>
  <si>
    <t>Partial Reserves at 30%</t>
  </si>
  <si>
    <t>Approved BUDGET</t>
  </si>
  <si>
    <t>Villa Rio Condominium Association, Inc Reserves 2023</t>
  </si>
  <si>
    <t>2023 Budget</t>
  </si>
  <si>
    <t>Unit Per Quarter without reserves</t>
  </si>
  <si>
    <t>Z</t>
  </si>
  <si>
    <t>2023 Amended Budget</t>
  </si>
  <si>
    <t>APPROVED BUDGET</t>
  </si>
  <si>
    <t>Quarterly fees are $792.00 plus partial reserves at $155.00 totaling $947.00 per Unit per quarter for 2023.</t>
  </si>
  <si>
    <t>PROPOSED BUDGET</t>
  </si>
  <si>
    <t>Villa Rio Condominium Association, Inc Reserves 2024</t>
  </si>
  <si>
    <t>2024 Budget</t>
  </si>
  <si>
    <t>Partial Reserves at 15</t>
  </si>
  <si>
    <t>Partial Reserves at 40%</t>
  </si>
  <si>
    <t>Flood</t>
  </si>
  <si>
    <t>Wind</t>
  </si>
  <si>
    <t xml:space="preserve">Cleaning </t>
  </si>
  <si>
    <t>Comcast/Camera WIFI</t>
  </si>
  <si>
    <t>Quarterly fees are $1275 per Unit per quarter for 2024.</t>
  </si>
  <si>
    <t>Partial Reserves at 10</t>
  </si>
  <si>
    <t>Partial Reserves at 20</t>
  </si>
  <si>
    <t>20% reserves</t>
  </si>
  <si>
    <t>Maintenance Fees Quarterly with Partial (20%) Reserves</t>
  </si>
  <si>
    <t>Partial Reserves at 20%</t>
  </si>
  <si>
    <t>*The Florida Statues require the Board of Directors to adopt a budget with full reserves.  The unit owners at a duly called meeting, may vote for full reserves or may opt to vote for reserves "less than adequate", (Partial Reserves)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</si>
</sst>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$&quot;#,##0_);[Red]\(&quot;$&quot;#,##0\)"/>
    <numFmt numFmtId="8" formatCode="&quot;$&quot;#,##0.00_);[Red]\(&quot;$&quot;#,##0.00\)"/>
    <numFmt numFmtId="43" formatCode="_(* #,##0.00_);_(* \(#,##0.00\);_(* &quot;-&quot;??_);_(@_)"/>
    <numFmt numFmtId="164" formatCode="#,##0.0#%;\-#,##0.0#%"/>
    <numFmt numFmtId="165" formatCode="_(* #,##0_);_(* \(#,##0\);_(* &quot;-&quot;??_);_(@_)"/>
    <numFmt numFmtId="166" formatCode="&quot;$&quot;#,##0"/>
    <numFmt numFmtId="167" formatCode="&quot;$&quot;#,##0.00"/>
  </numFmts>
  <fonts count="19" x14ac:knownFonts="1">
    <font>
      <sz val="11"/>
      <color theme="1"/>
      <name val="Calibri"/>
      <family val="2"/>
      <scheme val="minor"/>
    </font>
    <font>
      <b/>
      <sz val="8"/>
      <color rgb="FF323232"/>
      <name val="Arial"/>
      <family val="2"/>
    </font>
    <font>
      <sz val="11"/>
      <color theme="1"/>
      <name val="Calibri"/>
      <family val="2"/>
      <scheme val="minor"/>
    </font>
    <font>
      <b/>
      <sz val="10"/>
      <color rgb="FF323232"/>
      <name val="Arial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rgb="FF323232"/>
      <name val="Arial"/>
      <family val="2"/>
    </font>
    <font>
      <b/>
      <sz val="11"/>
      <color rgb="FF323232"/>
      <name val="Arial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323232"/>
      <name val="Calibri"/>
      <family val="2"/>
      <scheme val="minor"/>
    </font>
    <font>
      <b/>
      <sz val="12"/>
      <color rgb="FF323232"/>
      <name val="Calibri"/>
      <family val="2"/>
      <scheme val="minor"/>
    </font>
    <font>
      <b/>
      <u/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theme="1"/>
      <name val="Calibri"/>
      <family val="2"/>
      <scheme val="minor"/>
    </font>
    <font>
      <b/>
      <sz val="14"/>
      <color rgb="FF323232"/>
      <name val="Arial"/>
      <family val="2"/>
    </font>
    <font>
      <i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75FA6E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/>
    </xf>
    <xf numFmtId="0" fontId="9" fillId="0" borderId="0" xfId="0" applyFont="1" applyAlignment="1">
      <alignment horizontal="center"/>
    </xf>
    <xf numFmtId="43" fontId="0" fillId="0" borderId="0" xfId="0" applyNumberFormat="1"/>
    <xf numFmtId="49" fontId="7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8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0" fontId="0" fillId="2" borderId="0" xfId="0" applyFill="1"/>
    <xf numFmtId="167" fontId="0" fillId="0" borderId="0" xfId="0" applyNumberForma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43" fontId="9" fillId="0" borderId="0" xfId="0" applyNumberFormat="1" applyFont="1" applyAlignment="1">
      <alignment horizontal="center"/>
    </xf>
    <xf numFmtId="167" fontId="9" fillId="0" borderId="0" xfId="0" applyNumberFormat="1" applyFont="1" applyAlignment="1">
      <alignment horizontal="center"/>
    </xf>
    <xf numFmtId="165" fontId="9" fillId="0" borderId="0" xfId="1" applyNumberFormat="1" applyFont="1" applyFill="1" applyAlignment="1"/>
    <xf numFmtId="165" fontId="9" fillId="2" borderId="0" xfId="1" applyNumberFormat="1" applyFont="1" applyFill="1" applyAlignment="1"/>
    <xf numFmtId="0" fontId="9" fillId="2" borderId="0" xfId="0" applyFont="1" applyFill="1"/>
    <xf numFmtId="164" fontId="10" fillId="0" borderId="0" xfId="0" applyNumberFormat="1" applyFont="1" applyAlignment="1">
      <alignment horizontal="center"/>
    </xf>
    <xf numFmtId="167" fontId="8" fillId="0" borderId="0" xfId="1" applyNumberFormat="1" applyFont="1" applyFill="1" applyAlignment="1">
      <alignment horizontal="center"/>
    </xf>
    <xf numFmtId="167" fontId="8" fillId="0" borderId="0" xfId="1" applyNumberFormat="1" applyFont="1" applyFill="1" applyBorder="1" applyAlignment="1">
      <alignment horizontal="center"/>
    </xf>
    <xf numFmtId="167" fontId="9" fillId="0" borderId="1" xfId="0" applyNumberFormat="1" applyFont="1" applyBorder="1" applyAlignment="1">
      <alignment horizontal="center"/>
    </xf>
    <xf numFmtId="167" fontId="8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67" fontId="11" fillId="0" borderId="1" xfId="0" applyNumberFormat="1" applyFont="1" applyBorder="1" applyAlignment="1">
      <alignment horizontal="center" vertical="center" wrapText="1"/>
    </xf>
    <xf numFmtId="167" fontId="9" fillId="0" borderId="0" xfId="1" applyNumberFormat="1" applyFont="1" applyFill="1" applyAlignment="1">
      <alignment horizontal="center"/>
    </xf>
    <xf numFmtId="167" fontId="9" fillId="0" borderId="0" xfId="1" applyNumberFormat="1" applyFont="1" applyFill="1" applyBorder="1" applyAlignment="1">
      <alignment horizontal="center"/>
    </xf>
    <xf numFmtId="167" fontId="9" fillId="0" borderId="1" xfId="1" applyNumberFormat="1" applyFont="1" applyFill="1" applyBorder="1" applyAlignment="1">
      <alignment horizontal="center"/>
    </xf>
    <xf numFmtId="167" fontId="10" fillId="0" borderId="0" xfId="0" applyNumberFormat="1" applyFont="1" applyAlignment="1">
      <alignment horizontal="center" vertical="center" wrapText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5" fillId="0" borderId="6" xfId="0" applyFont="1" applyBorder="1"/>
    <xf numFmtId="0" fontId="9" fillId="0" borderId="6" xfId="0" applyFont="1" applyBorder="1" applyAlignment="1">
      <alignment horizontal="center"/>
    </xf>
    <xf numFmtId="8" fontId="9" fillId="0" borderId="6" xfId="0" applyNumberFormat="1" applyFont="1" applyBorder="1"/>
    <xf numFmtId="10" fontId="9" fillId="0" borderId="6" xfId="0" applyNumberFormat="1" applyFont="1" applyBorder="1" applyAlignment="1">
      <alignment horizontal="center"/>
    </xf>
    <xf numFmtId="8" fontId="9" fillId="0" borderId="6" xfId="0" applyNumberFormat="1" applyFont="1" applyBorder="1" applyAlignment="1">
      <alignment horizontal="center"/>
    </xf>
    <xf numFmtId="8" fontId="5" fillId="0" borderId="6" xfId="0" applyNumberFormat="1" applyFont="1" applyBorder="1"/>
    <xf numFmtId="10" fontId="5" fillId="0" borderId="6" xfId="0" applyNumberFormat="1" applyFont="1" applyBorder="1" applyAlignment="1">
      <alignment horizontal="center"/>
    </xf>
    <xf numFmtId="8" fontId="5" fillId="0" borderId="6" xfId="0" applyNumberFormat="1" applyFont="1" applyBorder="1" applyAlignment="1">
      <alignment horizontal="center"/>
    </xf>
    <xf numFmtId="167" fontId="13" fillId="0" borderId="6" xfId="0" applyNumberFormat="1" applyFont="1" applyBorder="1" applyAlignment="1">
      <alignment horizontal="center" vertical="center" wrapText="1"/>
    </xf>
    <xf numFmtId="167" fontId="13" fillId="0" borderId="6" xfId="0" applyNumberFormat="1" applyFont="1" applyBorder="1" applyAlignment="1">
      <alignment horizontal="center"/>
    </xf>
    <xf numFmtId="49" fontId="7" fillId="0" borderId="0" xfId="0" applyNumberFormat="1" applyFont="1"/>
    <xf numFmtId="8" fontId="9" fillId="0" borderId="0" xfId="0" applyNumberFormat="1" applyFont="1"/>
    <xf numFmtId="167" fontId="9" fillId="4" borderId="0" xfId="0" applyNumberFormat="1" applyFont="1" applyFill="1" applyAlignment="1">
      <alignment horizontal="center"/>
    </xf>
    <xf numFmtId="167" fontId="0" fillId="0" borderId="0" xfId="0" applyNumberFormat="1"/>
    <xf numFmtId="167" fontId="13" fillId="0" borderId="8" xfId="0" applyNumberFormat="1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/>
    </xf>
    <xf numFmtId="3" fontId="13" fillId="0" borderId="11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0" fontId="5" fillId="0" borderId="0" xfId="0" applyFont="1"/>
    <xf numFmtId="167" fontId="5" fillId="0" borderId="0" xfId="0" applyNumberFormat="1" applyFont="1"/>
    <xf numFmtId="8" fontId="8" fillId="0" borderId="0" xfId="0" applyNumberFormat="1" applyFont="1"/>
    <xf numFmtId="8" fontId="8" fillId="0" borderId="9" xfId="0" applyNumberFormat="1" applyFont="1" applyBorder="1" applyAlignment="1">
      <alignment horizontal="center" vertical="center" wrapText="1"/>
    </xf>
    <xf numFmtId="3" fontId="8" fillId="0" borderId="12" xfId="0" applyNumberFormat="1" applyFont="1" applyBorder="1" applyAlignment="1">
      <alignment horizontal="center" vertical="center" wrapText="1"/>
    </xf>
    <xf numFmtId="0" fontId="9" fillId="0" borderId="6" xfId="0" applyFont="1" applyBorder="1"/>
    <xf numFmtId="166" fontId="13" fillId="0" borderId="11" xfId="0" applyNumberFormat="1" applyFont="1" applyBorder="1" applyAlignment="1">
      <alignment horizontal="center" vertical="center"/>
    </xf>
    <xf numFmtId="166" fontId="8" fillId="0" borderId="11" xfId="0" applyNumberFormat="1" applyFont="1" applyBorder="1" applyAlignment="1">
      <alignment horizontal="center" vertical="center"/>
    </xf>
    <xf numFmtId="8" fontId="8" fillId="5" borderId="9" xfId="0" applyNumberFormat="1" applyFont="1" applyFill="1" applyBorder="1" applyAlignment="1">
      <alignment horizontal="center" vertical="center" wrapText="1"/>
    </xf>
    <xf numFmtId="166" fontId="8" fillId="5" borderId="12" xfId="0" applyNumberFormat="1" applyFont="1" applyFill="1" applyBorder="1" applyAlignment="1">
      <alignment horizontal="center" vertical="center" wrapText="1"/>
    </xf>
    <xf numFmtId="8" fontId="16" fillId="0" borderId="6" xfId="0" applyNumberFormat="1" applyFont="1" applyBorder="1" applyAlignment="1">
      <alignment horizontal="center"/>
    </xf>
    <xf numFmtId="8" fontId="8" fillId="0" borderId="21" xfId="0" applyNumberFormat="1" applyFont="1" applyBorder="1" applyAlignment="1">
      <alignment horizontal="center" vertical="center" wrapText="1"/>
    </xf>
    <xf numFmtId="10" fontId="5" fillId="2" borderId="6" xfId="0" applyNumberFormat="1" applyFont="1" applyFill="1" applyBorder="1" applyAlignment="1">
      <alignment horizontal="center"/>
    </xf>
    <xf numFmtId="8" fontId="5" fillId="2" borderId="6" xfId="0" applyNumberFormat="1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8" fontId="9" fillId="2" borderId="6" xfId="0" applyNumberFormat="1" applyFont="1" applyFill="1" applyBorder="1" applyAlignment="1">
      <alignment horizontal="center"/>
    </xf>
    <xf numFmtId="166" fontId="13" fillId="5" borderId="11" xfId="0" applyNumberFormat="1" applyFont="1" applyFill="1" applyBorder="1" applyAlignment="1">
      <alignment horizontal="center" vertical="center"/>
    </xf>
    <xf numFmtId="166" fontId="8" fillId="5" borderId="22" xfId="0" applyNumberFormat="1" applyFont="1" applyFill="1" applyBorder="1" applyAlignment="1">
      <alignment horizontal="center" vertical="center" wrapText="1"/>
    </xf>
    <xf numFmtId="40" fontId="9" fillId="0" borderId="0" xfId="0" applyNumberFormat="1" applyFont="1"/>
    <xf numFmtId="6" fontId="0" fillId="0" borderId="0" xfId="0" applyNumberFormat="1"/>
    <xf numFmtId="167" fontId="9" fillId="0" borderId="0" xfId="0" applyNumberFormat="1" applyFont="1"/>
    <xf numFmtId="9" fontId="9" fillId="0" borderId="0" xfId="0" applyNumberFormat="1" applyFont="1"/>
    <xf numFmtId="0" fontId="9" fillId="0" borderId="23" xfId="0" applyFont="1" applyBorder="1"/>
    <xf numFmtId="0" fontId="17" fillId="0" borderId="0" xfId="0" applyFont="1"/>
    <xf numFmtId="8" fontId="17" fillId="0" borderId="0" xfId="0" applyNumberFormat="1" applyFont="1" applyAlignment="1">
      <alignment horizontal="center"/>
    </xf>
    <xf numFmtId="8" fontId="17" fillId="0" borderId="0" xfId="0" applyNumberFormat="1" applyFont="1"/>
    <xf numFmtId="8" fontId="17" fillId="2" borderId="0" xfId="0" applyNumberFormat="1" applyFont="1" applyFill="1" applyAlignment="1">
      <alignment horizontal="center"/>
    </xf>
    <xf numFmtId="166" fontId="8" fillId="0" borderId="22" xfId="0" applyNumberFormat="1" applyFont="1" applyBorder="1" applyAlignment="1">
      <alignment horizontal="center" vertical="center" wrapText="1"/>
    </xf>
    <xf numFmtId="49" fontId="3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7" fontId="9" fillId="0" borderId="0" xfId="0" applyNumberFormat="1" applyFont="1" applyAlignment="1">
      <alignment horizontal="center"/>
    </xf>
    <xf numFmtId="167" fontId="0" fillId="0" borderId="0" xfId="0" applyNumberForma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3" fontId="8" fillId="0" borderId="11" xfId="0" applyNumberFormat="1" applyFont="1" applyBorder="1" applyAlignment="1">
      <alignment horizontal="center" vertical="center"/>
    </xf>
    <xf numFmtId="3" fontId="8" fillId="0" borderId="22" xfId="0" applyNumberFormat="1" applyFont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6" fontId="8" fillId="0" borderId="11" xfId="0" applyNumberFormat="1" applyFont="1" applyBorder="1" applyAlignment="1">
      <alignment horizontal="center" vertical="center"/>
    </xf>
    <xf numFmtId="166" fontId="8" fillId="0" borderId="22" xfId="0" applyNumberFormat="1" applyFont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21" xfId="0" applyFont="1" applyFill="1" applyBorder="1" applyAlignment="1">
      <alignment horizontal="center" vertical="center" wrapText="1"/>
    </xf>
    <xf numFmtId="166" fontId="8" fillId="5" borderId="11" xfId="0" applyNumberFormat="1" applyFont="1" applyFill="1" applyBorder="1" applyAlignment="1">
      <alignment horizontal="center" vertical="center"/>
    </xf>
    <xf numFmtId="166" fontId="8" fillId="5" borderId="22" xfId="0" applyNumberFormat="1" applyFont="1" applyFill="1" applyBorder="1" applyAlignment="1">
      <alignment horizontal="center" vertical="center"/>
    </xf>
    <xf numFmtId="0" fontId="15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166" fontId="8" fillId="0" borderId="6" xfId="0" applyNumberFormat="1" applyFont="1" applyBorder="1" applyAlignment="1">
      <alignment horizontal="center" vertical="center"/>
    </xf>
    <xf numFmtId="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mruColors>
      <color rgb="FF75FA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B060F-B2F3-8745-BE89-E2A2ADFDEE95}">
  <dimension ref="A1:O56"/>
  <sheetViews>
    <sheetView zoomScaleNormal="100" workbookViewId="0">
      <pane xSplit="5" ySplit="2" topLeftCell="F3" activePane="bottomRight" state="frozen"/>
      <selection pane="topRight" activeCell="BJ1" sqref="BJ1"/>
      <selection pane="bottomLeft" activeCell="A3" sqref="A3"/>
      <selection pane="bottomRight" activeCell="G19" sqref="G19"/>
    </sheetView>
  </sheetViews>
  <sheetFormatPr defaultColWidth="8.77734375" defaultRowHeight="14.4" x14ac:dyDescent="0.3"/>
  <cols>
    <col min="1" max="4" width="3" style="1" customWidth="1"/>
    <col min="5" max="5" width="32.44140625" style="1" customWidth="1"/>
    <col min="6" max="6" width="2.21875" customWidth="1"/>
    <col min="7" max="7" width="12.44140625" style="2" bestFit="1" customWidth="1"/>
    <col min="8" max="8" width="15.44140625" style="2" customWidth="1"/>
    <col min="9" max="9" width="17.77734375" style="15" customWidth="1"/>
    <col min="10" max="10" width="9.44140625" bestFit="1" customWidth="1"/>
    <col min="11" max="11" width="11.44140625" bestFit="1" customWidth="1"/>
    <col min="12" max="12" width="9.77734375" bestFit="1" customWidth="1"/>
  </cols>
  <sheetData>
    <row r="1" spans="1:15" ht="15" customHeight="1" x14ac:dyDescent="0.3">
      <c r="A1" s="86" t="s">
        <v>11</v>
      </c>
      <c r="B1" s="87"/>
      <c r="C1" s="87"/>
      <c r="D1" s="87"/>
      <c r="E1" s="87"/>
      <c r="F1" s="2"/>
      <c r="G1" s="4" t="s">
        <v>8</v>
      </c>
      <c r="H1" s="4" t="s">
        <v>10</v>
      </c>
      <c r="I1" s="14" t="s">
        <v>9</v>
      </c>
    </row>
    <row r="2" spans="1:15" s="2" customFormat="1" ht="16.2" thickBot="1" x14ac:dyDescent="0.35">
      <c r="A2" s="87"/>
      <c r="B2" s="87"/>
      <c r="C2" s="87"/>
      <c r="D2" s="87"/>
      <c r="E2" s="87"/>
      <c r="F2" s="3"/>
      <c r="G2" s="5">
        <v>2019</v>
      </c>
      <c r="H2" s="5">
        <v>2019</v>
      </c>
      <c r="I2" s="5">
        <v>2020</v>
      </c>
    </row>
    <row r="3" spans="1:15" ht="15.6" x14ac:dyDescent="0.3">
      <c r="A3" s="8"/>
      <c r="B3" s="8" t="s">
        <v>0</v>
      </c>
      <c r="C3" s="8"/>
      <c r="D3" s="8"/>
      <c r="E3" s="8"/>
      <c r="G3" s="20"/>
      <c r="H3" s="20"/>
      <c r="I3" s="31"/>
    </row>
    <row r="4" spans="1:15" ht="15.6" x14ac:dyDescent="0.3">
      <c r="A4" s="8"/>
      <c r="B4" s="8"/>
      <c r="C4" s="8" t="s">
        <v>1</v>
      </c>
      <c r="D4" s="8"/>
      <c r="E4" s="8"/>
      <c r="F4" s="6"/>
      <c r="G4" s="31">
        <v>1200</v>
      </c>
      <c r="H4" s="20">
        <v>1400</v>
      </c>
      <c r="I4" s="31">
        <v>1400</v>
      </c>
    </row>
    <row r="5" spans="1:15" ht="16.2" thickBot="1" x14ac:dyDescent="0.35">
      <c r="A5" s="8"/>
      <c r="B5" s="8"/>
      <c r="C5" s="8" t="s">
        <v>12</v>
      </c>
      <c r="D5" s="8"/>
      <c r="E5" s="8"/>
      <c r="F5" s="6"/>
      <c r="G5" s="32">
        <v>4200</v>
      </c>
      <c r="H5" s="20">
        <v>7000</v>
      </c>
      <c r="I5" s="32">
        <f>150*4*13</f>
        <v>7800</v>
      </c>
      <c r="K5" s="33">
        <f>842*4*28</f>
        <v>94304</v>
      </c>
    </row>
    <row r="6" spans="1:15" ht="15.6" x14ac:dyDescent="0.3">
      <c r="A6" s="8"/>
      <c r="B6" s="8"/>
      <c r="C6" s="8" t="s">
        <v>13</v>
      </c>
      <c r="D6" s="8"/>
      <c r="E6" s="8"/>
      <c r="F6" s="6"/>
      <c r="G6" s="32">
        <v>5200</v>
      </c>
      <c r="H6" s="20">
        <v>2000</v>
      </c>
      <c r="I6" s="32">
        <v>2000</v>
      </c>
    </row>
    <row r="7" spans="1:15" ht="15.6" x14ac:dyDescent="0.3">
      <c r="A7" s="8"/>
      <c r="B7" s="8"/>
      <c r="C7" s="8" t="s">
        <v>2</v>
      </c>
      <c r="D7" s="8"/>
      <c r="E7" s="8"/>
      <c r="F7" s="6"/>
      <c r="G7" s="32">
        <v>1000</v>
      </c>
      <c r="H7" s="20">
        <v>0</v>
      </c>
      <c r="I7" s="32">
        <v>100</v>
      </c>
    </row>
    <row r="8" spans="1:15" ht="15.6" x14ac:dyDescent="0.3">
      <c r="A8" s="8"/>
      <c r="B8" s="8"/>
      <c r="C8" s="8" t="s">
        <v>41</v>
      </c>
      <c r="D8" s="8"/>
      <c r="E8" s="8"/>
      <c r="F8" s="6"/>
      <c r="G8" s="32">
        <v>0</v>
      </c>
      <c r="H8" s="20">
        <v>0</v>
      </c>
      <c r="I8" s="32">
        <v>8000</v>
      </c>
    </row>
    <row r="9" spans="1:15" ht="15.6" x14ac:dyDescent="0.3">
      <c r="A9" s="8"/>
      <c r="B9" s="8"/>
      <c r="C9" s="8" t="s">
        <v>39</v>
      </c>
      <c r="D9" s="8"/>
      <c r="E9" s="8"/>
      <c r="F9" s="6"/>
      <c r="G9" s="32">
        <v>0</v>
      </c>
      <c r="H9" s="20">
        <v>0</v>
      </c>
      <c r="I9" s="32">
        <f>I41</f>
        <v>15466.666666666666</v>
      </c>
      <c r="N9">
        <f>842*28*4</f>
        <v>94304</v>
      </c>
    </row>
    <row r="10" spans="1:15" ht="16.2" thickBot="1" x14ac:dyDescent="0.35">
      <c r="A10" s="8"/>
      <c r="B10" s="8"/>
      <c r="C10" s="8" t="s">
        <v>3</v>
      </c>
      <c r="D10" s="8"/>
      <c r="E10" s="8"/>
      <c r="F10" s="6"/>
      <c r="G10" s="33">
        <v>94290</v>
      </c>
      <c r="H10" s="27">
        <v>95913.87</v>
      </c>
      <c r="I10" s="33">
        <f>K5-I9</f>
        <v>78837.333333333328</v>
      </c>
      <c r="K10" s="7"/>
      <c r="M10">
        <v>750</v>
      </c>
      <c r="N10">
        <f>750*4*28</f>
        <v>84000</v>
      </c>
      <c r="O10">
        <f>N10-15466.67</f>
        <v>68533.33</v>
      </c>
    </row>
    <row r="11" spans="1:15" ht="15.6" x14ac:dyDescent="0.3">
      <c r="A11" s="8"/>
      <c r="B11" s="8" t="s">
        <v>4</v>
      </c>
      <c r="C11" s="8"/>
      <c r="D11" s="8"/>
      <c r="E11" s="8"/>
      <c r="F11" s="6"/>
      <c r="G11" s="26">
        <f>SUM(G4:G10)</f>
        <v>105890</v>
      </c>
      <c r="H11" s="28">
        <f>SUM(H4:H10)</f>
        <v>106313.87</v>
      </c>
      <c r="I11" s="26">
        <f>SUM(I4:I10)</f>
        <v>113604</v>
      </c>
      <c r="M11">
        <v>800</v>
      </c>
      <c r="N11">
        <f>800*4*28</f>
        <v>89600</v>
      </c>
      <c r="O11">
        <f>N11-15466.67</f>
        <v>74133.33</v>
      </c>
    </row>
    <row r="12" spans="1:15" ht="15.6" x14ac:dyDescent="0.3">
      <c r="A12" s="8"/>
      <c r="B12" s="8" t="s">
        <v>5</v>
      </c>
      <c r="C12" s="8"/>
      <c r="D12" s="8"/>
      <c r="E12" s="8"/>
      <c r="F12" s="6"/>
      <c r="G12" s="20"/>
      <c r="H12" s="20"/>
      <c r="I12" s="20"/>
    </row>
    <row r="13" spans="1:15" ht="15.6" x14ac:dyDescent="0.3">
      <c r="A13" s="8"/>
      <c r="B13" s="8"/>
      <c r="C13" s="8" t="s">
        <v>14</v>
      </c>
      <c r="D13" s="8"/>
      <c r="E13" s="8"/>
      <c r="F13" s="6"/>
      <c r="G13" s="32">
        <v>3600</v>
      </c>
      <c r="H13" s="20">
        <v>2200</v>
      </c>
      <c r="I13" s="32">
        <v>2500</v>
      </c>
    </row>
    <row r="14" spans="1:15" ht="15.6" x14ac:dyDescent="0.3">
      <c r="A14" s="8"/>
      <c r="B14" s="8"/>
      <c r="C14" s="8" t="s">
        <v>15</v>
      </c>
      <c r="D14" s="8"/>
      <c r="E14" s="8"/>
      <c r="F14" s="6"/>
      <c r="G14" s="32">
        <v>16500</v>
      </c>
      <c r="H14" s="20">
        <v>16000</v>
      </c>
      <c r="I14" s="32">
        <v>18500</v>
      </c>
    </row>
    <row r="15" spans="1:15" ht="15.6" x14ac:dyDescent="0.3">
      <c r="A15" s="8"/>
      <c r="B15" s="8"/>
      <c r="C15" s="8" t="s">
        <v>16</v>
      </c>
      <c r="D15" s="49"/>
      <c r="E15" s="49"/>
      <c r="F15" s="6"/>
      <c r="G15" s="32">
        <v>4200</v>
      </c>
      <c r="H15" s="20">
        <v>3000</v>
      </c>
      <c r="I15" s="32">
        <v>3100</v>
      </c>
    </row>
    <row r="16" spans="1:15" ht="15.6" x14ac:dyDescent="0.3">
      <c r="A16" s="8"/>
      <c r="B16" s="8"/>
      <c r="C16" s="8" t="s">
        <v>17</v>
      </c>
      <c r="D16" s="8"/>
      <c r="E16" s="8"/>
      <c r="F16" s="6"/>
      <c r="G16" s="32">
        <v>450</v>
      </c>
      <c r="H16" s="20">
        <v>500</v>
      </c>
      <c r="I16" s="32">
        <v>500</v>
      </c>
    </row>
    <row r="17" spans="1:12" ht="15.6" x14ac:dyDescent="0.3">
      <c r="A17" s="8"/>
      <c r="B17" s="8"/>
      <c r="C17" s="8" t="s">
        <v>18</v>
      </c>
      <c r="D17" s="8"/>
      <c r="E17" s="8"/>
      <c r="F17" s="6"/>
      <c r="G17" s="32">
        <v>2000</v>
      </c>
      <c r="H17" s="20">
        <v>2000</v>
      </c>
      <c r="I17" s="32">
        <v>2000</v>
      </c>
    </row>
    <row r="18" spans="1:12" ht="15.6" x14ac:dyDescent="0.3">
      <c r="A18" s="8"/>
      <c r="B18" s="8"/>
      <c r="C18" s="8" t="s">
        <v>19</v>
      </c>
      <c r="D18" s="8"/>
      <c r="E18" s="8"/>
      <c r="F18" s="24"/>
      <c r="G18" s="32">
        <v>30000</v>
      </c>
      <c r="H18" s="20">
        <v>30000</v>
      </c>
      <c r="I18" s="32">
        <v>28000</v>
      </c>
      <c r="L18">
        <f>842*28*4</f>
        <v>94304</v>
      </c>
    </row>
    <row r="19" spans="1:12" ht="15.6" x14ac:dyDescent="0.3">
      <c r="A19" s="8"/>
      <c r="B19" s="8"/>
      <c r="C19" s="8" t="s">
        <v>20</v>
      </c>
      <c r="D19" s="8"/>
      <c r="E19" s="8"/>
      <c r="F19" s="6"/>
      <c r="G19" s="32">
        <v>5610</v>
      </c>
      <c r="H19" s="20">
        <v>8000</v>
      </c>
      <c r="I19" s="32">
        <v>8000</v>
      </c>
      <c r="L19" s="52">
        <f>L18-I9</f>
        <v>78837.333333333328</v>
      </c>
    </row>
    <row r="20" spans="1:12" ht="15.6" x14ac:dyDescent="0.3">
      <c r="A20" s="8"/>
      <c r="B20" s="8"/>
      <c r="C20" s="8" t="s">
        <v>21</v>
      </c>
      <c r="D20" s="8"/>
      <c r="E20" s="8"/>
      <c r="F20" s="6"/>
      <c r="G20" s="32">
        <v>2800</v>
      </c>
      <c r="H20" s="20">
        <v>2000</v>
      </c>
      <c r="I20" s="32"/>
    </row>
    <row r="21" spans="1:12" ht="15.6" x14ac:dyDescent="0.3">
      <c r="A21" s="8"/>
      <c r="B21" s="8"/>
      <c r="C21" s="8" t="s">
        <v>22</v>
      </c>
      <c r="D21" s="8"/>
      <c r="E21" s="8"/>
      <c r="F21" s="6"/>
      <c r="G21" s="32">
        <v>1000</v>
      </c>
      <c r="H21" s="20">
        <v>1600</v>
      </c>
      <c r="I21" s="32">
        <v>1600</v>
      </c>
    </row>
    <row r="22" spans="1:12" ht="21.6" customHeight="1" x14ac:dyDescent="0.3">
      <c r="A22" s="8"/>
      <c r="B22" s="8"/>
      <c r="C22" s="8" t="s">
        <v>23</v>
      </c>
      <c r="D22" s="8"/>
      <c r="E22" s="8"/>
      <c r="F22" s="6"/>
      <c r="G22" s="32">
        <v>1500</v>
      </c>
      <c r="H22" s="20">
        <v>1200</v>
      </c>
      <c r="I22" s="32">
        <v>1500</v>
      </c>
    </row>
    <row r="23" spans="1:12" ht="15.6" x14ac:dyDescent="0.3">
      <c r="A23" s="8"/>
      <c r="B23" s="8"/>
      <c r="C23" s="8" t="s">
        <v>24</v>
      </c>
      <c r="D23" s="8"/>
      <c r="E23" s="8"/>
      <c r="F23" s="6"/>
      <c r="G23" s="32">
        <v>0</v>
      </c>
      <c r="H23" s="20">
        <v>0</v>
      </c>
      <c r="I23" s="32">
        <v>100</v>
      </c>
    </row>
    <row r="24" spans="1:12" ht="15.6" x14ac:dyDescent="0.3">
      <c r="A24" s="8"/>
      <c r="B24" s="8"/>
      <c r="C24" s="8" t="s">
        <v>25</v>
      </c>
      <c r="D24" s="8"/>
      <c r="E24" s="8"/>
      <c r="F24" s="6"/>
      <c r="G24" s="32">
        <v>0</v>
      </c>
      <c r="H24" s="20">
        <v>2000</v>
      </c>
      <c r="I24" s="32">
        <v>2737</v>
      </c>
    </row>
    <row r="25" spans="1:12" ht="15.6" x14ac:dyDescent="0.3">
      <c r="A25" s="8"/>
      <c r="B25" s="8"/>
      <c r="C25" s="8" t="s">
        <v>38</v>
      </c>
      <c r="D25" s="8"/>
      <c r="E25" s="8"/>
      <c r="F25" s="6"/>
      <c r="G25" s="32">
        <v>4000</v>
      </c>
      <c r="H25" s="20">
        <v>12000</v>
      </c>
      <c r="I25" s="32">
        <v>10000</v>
      </c>
    </row>
    <row r="26" spans="1:12" ht="15.6" x14ac:dyDescent="0.3">
      <c r="A26" s="8"/>
      <c r="B26" s="8"/>
      <c r="C26" s="8" t="s">
        <v>26</v>
      </c>
      <c r="D26" s="8"/>
      <c r="E26" s="8"/>
      <c r="F26" s="6"/>
      <c r="G26" s="32">
        <v>500</v>
      </c>
      <c r="H26" s="20">
        <v>6500</v>
      </c>
      <c r="I26" s="32">
        <v>5000</v>
      </c>
    </row>
    <row r="27" spans="1:12" ht="15.6" x14ac:dyDescent="0.3">
      <c r="A27" s="8"/>
      <c r="B27" s="8"/>
      <c r="C27" s="8" t="s">
        <v>27</v>
      </c>
      <c r="D27" s="8"/>
      <c r="E27" s="8"/>
      <c r="F27" s="6"/>
      <c r="G27" s="32">
        <v>200</v>
      </c>
      <c r="H27" s="20">
        <v>0</v>
      </c>
      <c r="I27" s="32">
        <v>0</v>
      </c>
    </row>
    <row r="28" spans="1:12" ht="15.6" x14ac:dyDescent="0.3">
      <c r="A28" s="8"/>
      <c r="B28" s="8"/>
      <c r="C28" s="8" t="s">
        <v>28</v>
      </c>
      <c r="D28" s="8"/>
      <c r="E28" s="8"/>
      <c r="F28" s="6"/>
      <c r="G28" s="32">
        <v>500</v>
      </c>
      <c r="H28" s="20">
        <v>1600</v>
      </c>
      <c r="I28" s="32">
        <v>1600</v>
      </c>
    </row>
    <row r="29" spans="1:12" ht="22.5" customHeight="1" x14ac:dyDescent="0.3">
      <c r="A29" s="8"/>
      <c r="B29" s="8"/>
      <c r="C29" s="8" t="s">
        <v>29</v>
      </c>
      <c r="D29" s="8"/>
      <c r="E29" s="8"/>
      <c r="F29" s="6"/>
      <c r="G29" s="32">
        <v>2300</v>
      </c>
      <c r="H29" s="20">
        <v>500</v>
      </c>
      <c r="I29" s="32">
        <v>500</v>
      </c>
    </row>
    <row r="30" spans="1:12" ht="15.6" x14ac:dyDescent="0.3">
      <c r="A30" s="8"/>
      <c r="B30" s="8"/>
      <c r="C30" s="8" t="s">
        <v>6</v>
      </c>
      <c r="D30" s="8"/>
      <c r="E30" s="8"/>
      <c r="F30" s="6"/>
      <c r="G30" s="32">
        <v>0</v>
      </c>
      <c r="H30" s="20">
        <v>700</v>
      </c>
      <c r="I30" s="32">
        <v>700</v>
      </c>
    </row>
    <row r="31" spans="1:12" ht="15.6" x14ac:dyDescent="0.3">
      <c r="A31" s="8"/>
      <c r="B31" s="8"/>
      <c r="C31" s="8" t="s">
        <v>30</v>
      </c>
      <c r="D31" s="8"/>
      <c r="E31" s="8"/>
      <c r="F31" s="6"/>
      <c r="G31" s="32">
        <v>750</v>
      </c>
      <c r="H31" s="20">
        <v>800</v>
      </c>
      <c r="I31" s="32">
        <v>800</v>
      </c>
    </row>
    <row r="32" spans="1:12" ht="15.6" x14ac:dyDescent="0.3">
      <c r="A32" s="8"/>
      <c r="B32" s="8"/>
      <c r="C32" s="8" t="s">
        <v>31</v>
      </c>
      <c r="D32" s="8"/>
      <c r="E32" s="8"/>
      <c r="F32" s="6"/>
      <c r="G32" s="32">
        <v>450</v>
      </c>
      <c r="H32" s="20">
        <v>1200</v>
      </c>
      <c r="I32" s="32">
        <v>1200</v>
      </c>
    </row>
    <row r="33" spans="1:9" ht="15.6" x14ac:dyDescent="0.3">
      <c r="A33" s="8"/>
      <c r="B33" s="8"/>
      <c r="C33" s="8" t="s">
        <v>32</v>
      </c>
      <c r="D33" s="8"/>
      <c r="E33" s="8"/>
      <c r="F33" s="6"/>
      <c r="G33" s="32">
        <v>2500</v>
      </c>
      <c r="H33" s="20">
        <v>5800</v>
      </c>
      <c r="I33" s="32">
        <v>1500</v>
      </c>
    </row>
    <row r="34" spans="1:9" ht="15.6" x14ac:dyDescent="0.3">
      <c r="A34" s="8"/>
      <c r="B34" s="8"/>
      <c r="C34" s="8" t="s">
        <v>33</v>
      </c>
      <c r="D34" s="8"/>
      <c r="E34" s="8"/>
      <c r="F34" s="6"/>
      <c r="G34" s="32">
        <v>500</v>
      </c>
      <c r="H34" s="20">
        <v>0</v>
      </c>
      <c r="I34" s="32">
        <v>500</v>
      </c>
    </row>
    <row r="35" spans="1:9" ht="15.6" x14ac:dyDescent="0.3">
      <c r="A35" s="8"/>
      <c r="B35" s="8"/>
      <c r="C35" s="8" t="s">
        <v>34</v>
      </c>
      <c r="D35" s="8"/>
      <c r="E35" s="8"/>
      <c r="F35" s="6"/>
      <c r="G35" s="32">
        <v>575</v>
      </c>
      <c r="H35" s="20">
        <v>600</v>
      </c>
      <c r="I35" s="32">
        <v>600</v>
      </c>
    </row>
    <row r="36" spans="1:9" ht="15.6" x14ac:dyDescent="0.3">
      <c r="A36" s="8"/>
      <c r="B36" s="8"/>
      <c r="C36" s="8" t="s">
        <v>35</v>
      </c>
      <c r="D36" s="8"/>
      <c r="E36" s="8"/>
      <c r="F36" s="6"/>
      <c r="G36" s="32">
        <v>1200</v>
      </c>
      <c r="H36" s="20">
        <v>0</v>
      </c>
      <c r="I36" s="32">
        <v>0</v>
      </c>
    </row>
    <row r="37" spans="1:9" ht="15.6" x14ac:dyDescent="0.3">
      <c r="A37" s="8"/>
      <c r="B37" s="8"/>
      <c r="C37" s="8" t="s">
        <v>36</v>
      </c>
      <c r="D37" s="8"/>
      <c r="E37" s="8"/>
      <c r="F37" s="6"/>
      <c r="G37" s="32">
        <v>4200</v>
      </c>
      <c r="H37" s="20">
        <v>4200</v>
      </c>
      <c r="I37" s="32">
        <f>350*12</f>
        <v>4200</v>
      </c>
    </row>
    <row r="38" spans="1:9" ht="16.2" thickBot="1" x14ac:dyDescent="0.35">
      <c r="A38" s="8"/>
      <c r="C38" s="8" t="s">
        <v>37</v>
      </c>
      <c r="D38" s="8"/>
      <c r="E38" s="8"/>
      <c r="F38" s="6"/>
      <c r="G38" s="33">
        <v>5000</v>
      </c>
      <c r="H38" s="27">
        <v>3000</v>
      </c>
      <c r="I38" s="33">
        <v>3000</v>
      </c>
    </row>
    <row r="39" spans="1:9" s="1" customFormat="1" ht="15.6" x14ac:dyDescent="0.3">
      <c r="A39" s="9"/>
      <c r="B39" s="8" t="s">
        <v>7</v>
      </c>
      <c r="C39" s="8"/>
      <c r="D39" s="8"/>
      <c r="E39" s="8"/>
      <c r="F39" s="17"/>
      <c r="G39" s="26">
        <f>SUM(G13:G38)</f>
        <v>90335</v>
      </c>
      <c r="H39" s="29">
        <f>SUM(H13:H38)</f>
        <v>105400</v>
      </c>
      <c r="I39" s="25">
        <f>SUM(I13:I38)</f>
        <v>98137</v>
      </c>
    </row>
    <row r="40" spans="1:9" ht="15" customHeight="1" x14ac:dyDescent="0.3">
      <c r="A40" s="10"/>
      <c r="B40" s="10"/>
      <c r="C40" s="9"/>
      <c r="D40" s="9"/>
      <c r="E40" s="9"/>
      <c r="F40" s="18"/>
      <c r="G40" s="34"/>
      <c r="H40" s="34"/>
      <c r="I40" s="34"/>
    </row>
    <row r="41" spans="1:9" ht="37.5" customHeight="1" thickBot="1" x14ac:dyDescent="0.35">
      <c r="A41" s="10"/>
      <c r="B41" s="10"/>
      <c r="C41" s="89" t="s">
        <v>39</v>
      </c>
      <c r="D41" s="89"/>
      <c r="E41" s="89"/>
      <c r="F41" s="18"/>
      <c r="G41" s="30">
        <v>13355</v>
      </c>
      <c r="H41" s="30">
        <v>13355</v>
      </c>
      <c r="I41" s="30">
        <f>'reserves 2020'!H11</f>
        <v>15466.666666666666</v>
      </c>
    </row>
    <row r="42" spans="1:9" ht="15.6" x14ac:dyDescent="0.3">
      <c r="C42" s="89" t="s">
        <v>40</v>
      </c>
      <c r="D42" s="89"/>
      <c r="E42" s="89"/>
      <c r="F42" s="6"/>
      <c r="G42" s="28">
        <f>G41+G39</f>
        <v>103690</v>
      </c>
      <c r="H42" s="28">
        <f>SUM(H41+H39)</f>
        <v>118755</v>
      </c>
      <c r="I42" s="11">
        <f>SUM(I39+I41)</f>
        <v>113603.66666666667</v>
      </c>
    </row>
    <row r="43" spans="1:9" ht="15.6" x14ac:dyDescent="0.3">
      <c r="F43" s="6"/>
      <c r="G43" s="6"/>
      <c r="H43" s="6"/>
      <c r="I43" s="21"/>
    </row>
    <row r="44" spans="1:9" ht="15.6" x14ac:dyDescent="0.3">
      <c r="F44" s="6"/>
      <c r="G44" s="6"/>
      <c r="H44" s="6"/>
      <c r="I44" s="21"/>
    </row>
    <row r="45" spans="1:9" ht="15.6" x14ac:dyDescent="0.3">
      <c r="A45" s="12"/>
      <c r="B45" s="12"/>
      <c r="F45" s="88"/>
      <c r="G45" s="88"/>
      <c r="H45" s="6"/>
      <c r="I45" s="21"/>
    </row>
    <row r="46" spans="1:9" ht="15.6" x14ac:dyDescent="0.3">
      <c r="A46" s="13"/>
      <c r="B46" s="13"/>
      <c r="C46" s="12"/>
      <c r="D46" s="12"/>
      <c r="E46" s="12"/>
      <c r="F46" s="91"/>
      <c r="G46" s="91"/>
      <c r="H46" s="6"/>
      <c r="I46" s="22"/>
    </row>
    <row r="47" spans="1:9" ht="15.6" x14ac:dyDescent="0.3">
      <c r="A47" s="13"/>
      <c r="B47" s="13"/>
      <c r="C47" s="13"/>
      <c r="D47" s="13"/>
      <c r="E47" s="90"/>
      <c r="F47" s="91"/>
      <c r="G47" s="91"/>
      <c r="H47" s="19"/>
      <c r="I47" s="22"/>
    </row>
    <row r="48" spans="1:9" ht="15.6" x14ac:dyDescent="0.3">
      <c r="A48" s="13"/>
      <c r="B48" s="13"/>
      <c r="C48" s="13"/>
      <c r="D48" s="13"/>
      <c r="E48" s="90"/>
      <c r="F48" s="91"/>
      <c r="G48" s="91"/>
      <c r="H48" s="6"/>
      <c r="I48" s="23"/>
    </row>
    <row r="49" spans="1:9" ht="15.6" x14ac:dyDescent="0.3">
      <c r="A49" s="13"/>
      <c r="B49" s="13"/>
      <c r="C49" s="13"/>
      <c r="D49" s="13"/>
      <c r="E49" s="90"/>
      <c r="F49" s="91"/>
      <c r="G49" s="91"/>
      <c r="H49" s="19"/>
      <c r="I49" s="23"/>
    </row>
    <row r="50" spans="1:9" ht="15.6" x14ac:dyDescent="0.3">
      <c r="A50" s="13"/>
      <c r="B50" s="13"/>
      <c r="C50" s="13"/>
      <c r="D50" s="13"/>
      <c r="E50" s="90"/>
      <c r="F50" s="91"/>
      <c r="G50" s="91"/>
      <c r="H50" s="6"/>
      <c r="I50" s="23"/>
    </row>
    <row r="51" spans="1:9" ht="15.6" x14ac:dyDescent="0.3">
      <c r="A51" s="13"/>
      <c r="B51" s="13"/>
      <c r="C51" s="13"/>
      <c r="D51" s="13"/>
      <c r="E51" s="90"/>
      <c r="F51" s="91"/>
      <c r="G51" s="91"/>
      <c r="H51" s="20"/>
      <c r="I51" s="23"/>
    </row>
    <row r="52" spans="1:9" x14ac:dyDescent="0.3">
      <c r="A52" s="13"/>
      <c r="B52" s="13"/>
      <c r="C52" s="13"/>
      <c r="D52" s="13"/>
      <c r="E52" s="90"/>
      <c r="F52" s="92"/>
      <c r="G52" s="92"/>
    </row>
    <row r="53" spans="1:9" x14ac:dyDescent="0.3">
      <c r="A53" s="13"/>
      <c r="B53" s="13"/>
      <c r="C53" s="13"/>
      <c r="D53" s="13"/>
      <c r="E53" s="90"/>
      <c r="F53" s="92"/>
      <c r="G53" s="92"/>
      <c r="H53" s="16"/>
    </row>
    <row r="54" spans="1:9" x14ac:dyDescent="0.3">
      <c r="A54" s="13"/>
      <c r="B54" s="13"/>
      <c r="C54" s="13"/>
      <c r="D54" s="13"/>
      <c r="E54" s="90"/>
      <c r="F54" s="92"/>
      <c r="G54" s="92"/>
    </row>
    <row r="55" spans="1:9" x14ac:dyDescent="0.3">
      <c r="A55" s="13"/>
      <c r="B55" s="13"/>
      <c r="C55" s="13"/>
      <c r="D55" s="13"/>
      <c r="E55" s="90"/>
      <c r="F55" s="92"/>
      <c r="G55" s="92"/>
      <c r="H55" s="16"/>
    </row>
    <row r="56" spans="1:9" x14ac:dyDescent="0.3">
      <c r="C56" s="13"/>
      <c r="D56" s="13"/>
      <c r="E56" s="90"/>
    </row>
  </sheetData>
  <mergeCells count="14">
    <mergeCell ref="E49:E50"/>
    <mergeCell ref="F48:G49"/>
    <mergeCell ref="E55:E56"/>
    <mergeCell ref="F54:G55"/>
    <mergeCell ref="E51:E52"/>
    <mergeCell ref="F50:G51"/>
    <mergeCell ref="E53:E54"/>
    <mergeCell ref="F52:G53"/>
    <mergeCell ref="A1:E2"/>
    <mergeCell ref="F45:G45"/>
    <mergeCell ref="C41:E41"/>
    <mergeCell ref="C42:E42"/>
    <mergeCell ref="E47:E48"/>
    <mergeCell ref="F46:G47"/>
  </mergeCells>
  <printOptions horizontalCentered="1" verticalCentered="1"/>
  <pageMargins left="0.45" right="0.45" top="0.75" bottom="0.75" header="0.3" footer="0.3"/>
  <pageSetup scale="71" orientation="portrait" r:id="rId1"/>
  <headerFooter>
    <oddHeader>&amp;CVilla Rio Condominium Association, Inc.
Budget for 2020
January 1, 2020 to December 31, 2020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D9ABF-42F9-4044-B732-467BB3244881}">
  <sheetPr>
    <tabColor rgb="FFFFFF00"/>
  </sheetPr>
  <dimension ref="A1:N23"/>
  <sheetViews>
    <sheetView topLeftCell="D1" zoomScale="90" zoomScaleNormal="90" zoomScaleSheetLayoutView="75" workbookViewId="0">
      <selection activeCell="J13" sqref="J13"/>
    </sheetView>
  </sheetViews>
  <sheetFormatPr defaultColWidth="9.21875" defaultRowHeight="15.6" x14ac:dyDescent="0.3"/>
  <cols>
    <col min="1" max="1" width="34.5546875" style="35" customWidth="1"/>
    <col min="2" max="2" width="12.44140625" style="35" customWidth="1"/>
    <col min="3" max="3" width="18.21875" style="35" bestFit="1" customWidth="1"/>
    <col min="4" max="4" width="19" style="35" bestFit="1" customWidth="1"/>
    <col min="5" max="5" width="17.21875" style="35" bestFit="1" customWidth="1"/>
    <col min="6" max="6" width="22.44140625" style="35" customWidth="1"/>
    <col min="7" max="7" width="22.77734375" style="35" bestFit="1" customWidth="1"/>
    <col min="8" max="8" width="18.5546875" style="35" customWidth="1"/>
    <col min="9" max="9" width="16.77734375" style="35" customWidth="1"/>
    <col min="10" max="10" width="20.44140625" style="35" customWidth="1"/>
    <col min="11" max="11" width="28" style="35" customWidth="1"/>
    <col min="12" max="12" width="22.77734375" style="35" customWidth="1"/>
    <col min="13" max="13" width="13.21875" style="35" bestFit="1" customWidth="1"/>
    <col min="14" max="14" width="10.77734375" style="35" bestFit="1" customWidth="1"/>
    <col min="15" max="16384" width="9.21875" style="35"/>
  </cols>
  <sheetData>
    <row r="1" spans="1:14" x14ac:dyDescent="0.3">
      <c r="A1" s="93" t="s">
        <v>94</v>
      </c>
      <c r="B1" s="93"/>
      <c r="C1" s="93"/>
      <c r="D1" s="93"/>
      <c r="E1" s="93"/>
      <c r="F1" s="93"/>
      <c r="G1" s="93"/>
      <c r="H1" s="93"/>
      <c r="I1" s="93"/>
    </row>
    <row r="2" spans="1:14" x14ac:dyDescent="0.3">
      <c r="A2" s="94"/>
      <c r="B2" s="94"/>
      <c r="C2" s="94"/>
      <c r="D2" s="94"/>
      <c r="E2" s="94"/>
      <c r="F2" s="94"/>
      <c r="G2" s="94"/>
      <c r="H2" s="94"/>
      <c r="I2" s="94"/>
    </row>
    <row r="3" spans="1:14" ht="34.5" customHeight="1" x14ac:dyDescent="0.3">
      <c r="A3" s="95" t="s">
        <v>42</v>
      </c>
      <c r="B3" s="36" t="s">
        <v>43</v>
      </c>
      <c r="C3" s="36" t="s">
        <v>43</v>
      </c>
      <c r="D3" s="36" t="s">
        <v>44</v>
      </c>
      <c r="E3" s="36" t="s">
        <v>45</v>
      </c>
      <c r="F3" s="36" t="s">
        <v>46</v>
      </c>
      <c r="G3" s="36" t="s">
        <v>47</v>
      </c>
      <c r="H3" s="54" t="s">
        <v>48</v>
      </c>
      <c r="I3" s="80"/>
      <c r="J3" s="81"/>
      <c r="K3" s="81"/>
      <c r="L3" s="81"/>
      <c r="M3" s="81"/>
      <c r="N3" s="81"/>
    </row>
    <row r="4" spans="1:14" ht="34.5" customHeight="1" x14ac:dyDescent="0.3">
      <c r="A4" s="96"/>
      <c r="B4" s="36" t="s">
        <v>49</v>
      </c>
      <c r="C4" s="36" t="s">
        <v>50</v>
      </c>
      <c r="D4" s="36" t="s">
        <v>51</v>
      </c>
      <c r="E4" s="36" t="s">
        <v>39</v>
      </c>
      <c r="F4" s="36" t="s">
        <v>52</v>
      </c>
      <c r="G4" s="36" t="s">
        <v>48</v>
      </c>
      <c r="H4" s="36" t="s">
        <v>95</v>
      </c>
      <c r="I4" s="113" t="s">
        <v>107</v>
      </c>
      <c r="J4" s="138" t="s">
        <v>97</v>
      </c>
      <c r="K4" s="138" t="s">
        <v>96</v>
      </c>
      <c r="L4" s="138" t="s">
        <v>103</v>
      </c>
      <c r="M4" s="138" t="s">
        <v>104</v>
      </c>
      <c r="N4" s="81"/>
    </row>
    <row r="5" spans="1:14" ht="34.5" customHeight="1" x14ac:dyDescent="0.3">
      <c r="A5" s="36"/>
      <c r="B5" s="37"/>
      <c r="C5" s="37"/>
      <c r="D5" s="37" t="s">
        <v>53</v>
      </c>
      <c r="E5" s="38">
        <v>45291</v>
      </c>
      <c r="F5" s="37" t="s">
        <v>54</v>
      </c>
      <c r="G5" s="37" t="s">
        <v>55</v>
      </c>
      <c r="H5" s="37" t="s">
        <v>56</v>
      </c>
      <c r="I5" s="114"/>
      <c r="J5" s="139"/>
      <c r="K5" s="139"/>
      <c r="L5" s="139"/>
      <c r="M5" s="139"/>
      <c r="N5" s="81"/>
    </row>
    <row r="6" spans="1:14" ht="34.5" customHeight="1" x14ac:dyDescent="0.3">
      <c r="A6" s="39" t="s">
        <v>57</v>
      </c>
      <c r="B6" s="40">
        <v>7</v>
      </c>
      <c r="C6" s="41">
        <v>18000</v>
      </c>
      <c r="D6" s="42">
        <v>0.15</v>
      </c>
      <c r="E6" s="68">
        <f>E11*0.15</f>
        <v>10155</v>
      </c>
      <c r="F6" s="40">
        <v>1</v>
      </c>
      <c r="G6" s="43">
        <f>C6-E6</f>
        <v>7845</v>
      </c>
      <c r="H6" s="43">
        <f>SUM(G6/F6)</f>
        <v>7845</v>
      </c>
      <c r="I6" s="43">
        <f>H6*0.2</f>
        <v>1569</v>
      </c>
      <c r="J6" s="82">
        <f>SUM(H6*0.4)</f>
        <v>3138</v>
      </c>
      <c r="K6" s="82">
        <f>H6*0.15</f>
        <v>1176.75</v>
      </c>
      <c r="L6" s="82">
        <f>H6*0.1</f>
        <v>784.5</v>
      </c>
      <c r="M6" s="82">
        <f>H6*0.2</f>
        <v>1569</v>
      </c>
      <c r="N6" s="81"/>
    </row>
    <row r="7" spans="1:14" ht="34.5" customHeight="1" x14ac:dyDescent="0.3">
      <c r="A7" s="39" t="s">
        <v>58</v>
      </c>
      <c r="B7" s="40">
        <v>20</v>
      </c>
      <c r="C7" s="41">
        <v>200000</v>
      </c>
      <c r="D7" s="42">
        <v>0.45</v>
      </c>
      <c r="E7" s="68">
        <f>E11*D7+11000</f>
        <v>41465</v>
      </c>
      <c r="F7" s="40">
        <v>3</v>
      </c>
      <c r="G7" s="43">
        <f t="shared" ref="G7:G9" si="0">C7-E7</f>
        <v>158535</v>
      </c>
      <c r="H7" s="43">
        <f>SUM(G7/F7)</f>
        <v>52845</v>
      </c>
      <c r="I7" s="43">
        <f>H7*0.2</f>
        <v>10569</v>
      </c>
      <c r="J7" s="82">
        <f>H7*0.4</f>
        <v>21138</v>
      </c>
      <c r="K7" s="82">
        <f>H7*0.15</f>
        <v>7926.75</v>
      </c>
      <c r="L7" s="82">
        <f>H7*0.1</f>
        <v>5284.5</v>
      </c>
      <c r="M7" s="82">
        <f>H7*0.2</f>
        <v>10569</v>
      </c>
      <c r="N7" s="81"/>
    </row>
    <row r="8" spans="1:14" ht="34.5" customHeight="1" x14ac:dyDescent="0.3">
      <c r="A8" s="39" t="s">
        <v>73</v>
      </c>
      <c r="B8" s="40">
        <v>20</v>
      </c>
      <c r="C8" s="41">
        <v>80000</v>
      </c>
      <c r="D8" s="42">
        <v>0.2</v>
      </c>
      <c r="E8" s="68">
        <f>E11*D8-11000</f>
        <v>2540</v>
      </c>
      <c r="F8" s="40">
        <v>3</v>
      </c>
      <c r="G8" s="43">
        <f>C8-E8</f>
        <v>77460</v>
      </c>
      <c r="H8" s="43">
        <v>40084.300000000003</v>
      </c>
      <c r="I8" s="43">
        <f>H8*0.2</f>
        <v>8016.8600000000006</v>
      </c>
      <c r="J8" s="82">
        <f>H8*0.4</f>
        <v>16033.720000000001</v>
      </c>
      <c r="K8" s="82">
        <f>H8*0.15</f>
        <v>6012.6450000000004</v>
      </c>
      <c r="L8" s="82">
        <f>H8*0.1</f>
        <v>4008.4300000000003</v>
      </c>
      <c r="M8" s="82">
        <f>H8*0.2</f>
        <v>8016.8600000000006</v>
      </c>
      <c r="N8" s="81"/>
    </row>
    <row r="9" spans="1:14" ht="34.5" customHeight="1" x14ac:dyDescent="0.3">
      <c r="A9" s="39" t="s">
        <v>59</v>
      </c>
      <c r="B9" s="40">
        <v>15</v>
      </c>
      <c r="C9" s="41">
        <v>20000</v>
      </c>
      <c r="D9" s="42">
        <v>0.1</v>
      </c>
      <c r="E9" s="68">
        <f>E11*D9</f>
        <v>6770</v>
      </c>
      <c r="F9" s="40">
        <v>11</v>
      </c>
      <c r="G9" s="43">
        <f t="shared" si="0"/>
        <v>13230</v>
      </c>
      <c r="H9" s="43">
        <f>SUM(G9/F9)</f>
        <v>1202.7272727272727</v>
      </c>
      <c r="I9" s="43">
        <f>H9*0.2</f>
        <v>240.54545454545456</v>
      </c>
      <c r="J9" s="82">
        <f>H9*0.4</f>
        <v>481.09090909090912</v>
      </c>
      <c r="K9" s="82">
        <f>H9*0.15</f>
        <v>180.40909090909091</v>
      </c>
      <c r="L9" s="82">
        <f>H9*0.1</f>
        <v>120.27272727272728</v>
      </c>
      <c r="M9" s="82">
        <f>H9*0.2</f>
        <v>240.54545454545456</v>
      </c>
      <c r="N9" s="83">
        <f>H8*0.2</f>
        <v>8016.8600000000006</v>
      </c>
    </row>
    <row r="10" spans="1:14" ht="34.5" customHeight="1" x14ac:dyDescent="0.3">
      <c r="A10" s="39" t="s">
        <v>60</v>
      </c>
      <c r="B10" s="40">
        <v>10</v>
      </c>
      <c r="C10" s="41">
        <v>15000</v>
      </c>
      <c r="D10" s="42">
        <v>0.1</v>
      </c>
      <c r="E10" s="68">
        <f>E11*D10</f>
        <v>6770</v>
      </c>
      <c r="F10" s="40">
        <v>5</v>
      </c>
      <c r="G10" s="43">
        <f>C10-E10</f>
        <v>8230</v>
      </c>
      <c r="H10" s="43">
        <f>SUM(G10/F10)</f>
        <v>1646</v>
      </c>
      <c r="I10" s="43">
        <f>H10*0.2</f>
        <v>329.20000000000005</v>
      </c>
      <c r="J10" s="82">
        <f>H10*0.4</f>
        <v>658.40000000000009</v>
      </c>
      <c r="K10" s="82">
        <f>H10*0.15</f>
        <v>246.89999999999998</v>
      </c>
      <c r="L10" s="82">
        <f>H10*0.1</f>
        <v>164.60000000000002</v>
      </c>
      <c r="M10" s="82">
        <f>H10*0.2</f>
        <v>329.20000000000005</v>
      </c>
      <c r="N10" s="81"/>
    </row>
    <row r="11" spans="1:14" ht="34.5" customHeight="1" x14ac:dyDescent="0.3">
      <c r="A11" s="39" t="s">
        <v>61</v>
      </c>
      <c r="B11" s="36"/>
      <c r="C11" s="71">
        <f>SUM(C6:C9)</f>
        <v>318000</v>
      </c>
      <c r="D11" s="70">
        <f>SUM(D6:D10)</f>
        <v>1</v>
      </c>
      <c r="E11" s="71">
        <v>67700</v>
      </c>
      <c r="F11" s="72"/>
      <c r="G11" s="71">
        <f>C11-E11</f>
        <v>250300</v>
      </c>
      <c r="H11" s="71">
        <f>SUM(H6:H10)</f>
        <v>103623.02727272728</v>
      </c>
      <c r="I11" s="73">
        <f>SUM(I6:I10)</f>
        <v>20724.605454545457</v>
      </c>
      <c r="J11" s="84">
        <f>SUM(J6+J7+J8+J9+J10)</f>
        <v>41449.210909090914</v>
      </c>
      <c r="K11" s="84">
        <f>SUM(K6:K10)</f>
        <v>15543.45409090909</v>
      </c>
      <c r="L11" s="84">
        <f>SUM(L6:L10)</f>
        <v>10362.302727272729</v>
      </c>
      <c r="M11" s="84">
        <f>SUM(M6:M10)</f>
        <v>20724.605454545457</v>
      </c>
      <c r="N11" s="81">
        <f>120252.8/3</f>
        <v>40084.26666666667</v>
      </c>
    </row>
    <row r="12" spans="1:14" ht="34.5" customHeight="1" thickBot="1" x14ac:dyDescent="0.35">
      <c r="J12" s="50">
        <f>I11/4</f>
        <v>5181.1513636363643</v>
      </c>
    </row>
    <row r="13" spans="1:14" ht="69" customHeight="1" x14ac:dyDescent="0.3">
      <c r="A13" s="115" t="s">
        <v>62</v>
      </c>
      <c r="B13" s="116"/>
      <c r="C13" s="53" t="s">
        <v>88</v>
      </c>
      <c r="D13" s="56" t="s">
        <v>70</v>
      </c>
      <c r="E13" s="119" t="s">
        <v>71</v>
      </c>
      <c r="F13" s="120"/>
      <c r="G13" s="69" t="s">
        <v>105</v>
      </c>
      <c r="H13" s="114" t="s">
        <v>106</v>
      </c>
      <c r="I13" s="114"/>
      <c r="K13" s="79">
        <v>0.4</v>
      </c>
      <c r="L13" s="79">
        <v>0.15</v>
      </c>
      <c r="M13" s="79">
        <v>0.1</v>
      </c>
      <c r="N13" s="79">
        <v>0.2</v>
      </c>
    </row>
    <row r="14" spans="1:14" ht="34.5" customHeight="1" thickBot="1" x14ac:dyDescent="0.35">
      <c r="A14" s="117"/>
      <c r="B14" s="118"/>
      <c r="C14" s="64">
        <v>1275</v>
      </c>
      <c r="D14" s="65">
        <f>SUM(H11/28)/4</f>
        <v>925.20560064935069</v>
      </c>
      <c r="E14" s="125">
        <f>C14+D14</f>
        <v>2200.2056006493508</v>
      </c>
      <c r="F14" s="126"/>
      <c r="G14" s="85">
        <f>SUM(I11/28/4)</f>
        <v>185.04112012987017</v>
      </c>
      <c r="H14" s="137">
        <f>C14+G14</f>
        <v>1460.0411201298703</v>
      </c>
      <c r="I14" s="137"/>
      <c r="K14" s="50">
        <f>J11/4/28</f>
        <v>370.08224025974033</v>
      </c>
      <c r="L14" s="50">
        <f>K11/4/28</f>
        <v>138.7808400974026</v>
      </c>
      <c r="M14" s="78">
        <f>L11/28/4</f>
        <v>92.520560064935083</v>
      </c>
      <c r="N14" s="50">
        <f>M11/28/4</f>
        <v>185.04112012987017</v>
      </c>
    </row>
    <row r="15" spans="1:14" ht="34.5" customHeight="1" thickBot="1" x14ac:dyDescent="0.35">
      <c r="D15" s="60"/>
      <c r="E15" s="14"/>
      <c r="F15" s="14"/>
      <c r="J15" s="50"/>
      <c r="K15" s="50">
        <f>K14+C14</f>
        <v>1645.0822402597403</v>
      </c>
      <c r="L15" s="50">
        <f>L14+C14</f>
        <v>1413.7808400974027</v>
      </c>
      <c r="M15" s="78">
        <f>C14+M14</f>
        <v>1367.5205600649351</v>
      </c>
      <c r="N15" s="78">
        <f>C14+N14</f>
        <v>1460.0411201298703</v>
      </c>
    </row>
    <row r="16" spans="1:14" ht="34.5" customHeight="1" x14ac:dyDescent="0.3">
      <c r="A16" s="97" t="s">
        <v>108</v>
      </c>
      <c r="B16" s="98"/>
      <c r="C16" s="98"/>
      <c r="D16" s="98"/>
      <c r="E16" s="98"/>
      <c r="F16" s="98"/>
      <c r="G16" s="98"/>
      <c r="H16" s="99"/>
      <c r="J16" s="50">
        <f>I11/4</f>
        <v>5181.1513636363643</v>
      </c>
      <c r="K16" s="50">
        <f>J11/4</f>
        <v>10362.302727272729</v>
      </c>
      <c r="L16" s="50">
        <f>K11/4</f>
        <v>3885.8635227272725</v>
      </c>
      <c r="M16" s="50">
        <f>L11/4</f>
        <v>2590.5756818181821</v>
      </c>
      <c r="N16" s="50">
        <f>M11/4</f>
        <v>5181.1513636363643</v>
      </c>
    </row>
    <row r="17" spans="1:13" ht="34.5" customHeight="1" thickBot="1" x14ac:dyDescent="0.35">
      <c r="A17" s="100"/>
      <c r="B17" s="101"/>
      <c r="C17" s="101"/>
      <c r="D17" s="101"/>
      <c r="E17" s="101"/>
      <c r="F17" s="101"/>
      <c r="G17" s="101"/>
      <c r="H17" s="102"/>
    </row>
    <row r="18" spans="1:13" x14ac:dyDescent="0.3">
      <c r="M18" s="35">
        <f>1275+180</f>
        <v>1455</v>
      </c>
    </row>
    <row r="21" spans="1:13" x14ac:dyDescent="0.3">
      <c r="G21" s="35">
        <f>41865/28/8</f>
        <v>186.89732142857142</v>
      </c>
    </row>
    <row r="22" spans="1:13" x14ac:dyDescent="0.3">
      <c r="G22" s="35">
        <f>1500/8</f>
        <v>187.5</v>
      </c>
    </row>
    <row r="23" spans="1:13" x14ac:dyDescent="0.3">
      <c r="J23" s="35">
        <f>114.77+7301.83+9018.96+374.1+498.42</f>
        <v>17308.079999999994</v>
      </c>
    </row>
  </sheetData>
  <mergeCells count="13">
    <mergeCell ref="A1:I2"/>
    <mergeCell ref="A3:A4"/>
    <mergeCell ref="I4:I5"/>
    <mergeCell ref="A13:B14"/>
    <mergeCell ref="E13:F13"/>
    <mergeCell ref="H13:I13"/>
    <mergeCell ref="E14:F14"/>
    <mergeCell ref="H14:I14"/>
    <mergeCell ref="M4:M5"/>
    <mergeCell ref="L4:L5"/>
    <mergeCell ref="J4:J5"/>
    <mergeCell ref="K4:K5"/>
    <mergeCell ref="A16:H17"/>
  </mergeCells>
  <pageMargins left="0.25" right="0.25" top="0.75" bottom="0.75" header="0.3" footer="0.3"/>
  <pageSetup scale="67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8.77734375"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DCF0-785A-469E-9427-1B7692D60CDE}">
  <dimension ref="A1:I17"/>
  <sheetViews>
    <sheetView view="pageBreakPreview" topLeftCell="B1" zoomScale="166" zoomScaleNormal="100" zoomScaleSheetLayoutView="166" workbookViewId="0">
      <selection activeCell="F7" sqref="F7"/>
    </sheetView>
  </sheetViews>
  <sheetFormatPr defaultColWidth="9.21875" defaultRowHeight="15.6" x14ac:dyDescent="0.3"/>
  <cols>
    <col min="1" max="1" width="34.5546875" style="35" customWidth="1"/>
    <col min="2" max="2" width="12.44140625" style="35" customWidth="1"/>
    <col min="3" max="3" width="17" style="35" bestFit="1" customWidth="1"/>
    <col min="4" max="4" width="19" style="35" bestFit="1" customWidth="1"/>
    <col min="5" max="5" width="15.44140625" style="35" bestFit="1" customWidth="1"/>
    <col min="6" max="6" width="22.44140625" style="35" customWidth="1"/>
    <col min="7" max="7" width="22.77734375" style="35" bestFit="1" customWidth="1"/>
    <col min="8" max="8" width="18.5546875" style="35" customWidth="1"/>
    <col min="9" max="9" width="16.77734375" style="35" customWidth="1"/>
    <col min="10" max="16384" width="9.21875" style="35"/>
  </cols>
  <sheetData>
    <row r="1" spans="1:9" x14ac:dyDescent="0.3">
      <c r="A1" s="93" t="s">
        <v>64</v>
      </c>
      <c r="B1" s="93"/>
      <c r="C1" s="93"/>
      <c r="D1" s="93"/>
      <c r="E1" s="93"/>
      <c r="F1" s="93"/>
      <c r="G1" s="93"/>
      <c r="H1" s="93"/>
      <c r="I1" s="93"/>
    </row>
    <row r="2" spans="1:9" x14ac:dyDescent="0.3">
      <c r="A2" s="94"/>
      <c r="B2" s="94"/>
      <c r="C2" s="94"/>
      <c r="D2" s="94"/>
      <c r="E2" s="94"/>
      <c r="F2" s="94"/>
      <c r="G2" s="94"/>
      <c r="H2" s="94"/>
      <c r="I2" s="94"/>
    </row>
    <row r="3" spans="1:9" ht="34.5" customHeight="1" x14ac:dyDescent="0.3">
      <c r="A3" s="95" t="s">
        <v>42</v>
      </c>
      <c r="B3" s="36" t="s">
        <v>43</v>
      </c>
      <c r="C3" s="36" t="s">
        <v>43</v>
      </c>
      <c r="D3" s="36" t="s">
        <v>44</v>
      </c>
      <c r="E3" s="36" t="s">
        <v>45</v>
      </c>
      <c r="F3" s="36" t="s">
        <v>46</v>
      </c>
      <c r="G3" s="36" t="s">
        <v>47</v>
      </c>
      <c r="H3" s="36" t="s">
        <v>48</v>
      </c>
    </row>
    <row r="4" spans="1:9" ht="34.5" customHeight="1" x14ac:dyDescent="0.3">
      <c r="A4" s="96"/>
      <c r="B4" s="36" t="s">
        <v>49</v>
      </c>
      <c r="C4" s="36" t="s">
        <v>50</v>
      </c>
      <c r="D4" s="36" t="s">
        <v>51</v>
      </c>
      <c r="E4" s="36" t="s">
        <v>39</v>
      </c>
      <c r="F4" s="36" t="s">
        <v>52</v>
      </c>
      <c r="G4" s="36" t="s">
        <v>48</v>
      </c>
      <c r="H4" s="36" t="s">
        <v>11</v>
      </c>
    </row>
    <row r="5" spans="1:9" ht="34.5" customHeight="1" x14ac:dyDescent="0.3">
      <c r="A5" s="36"/>
      <c r="B5" s="37"/>
      <c r="C5" s="37"/>
      <c r="D5" s="37" t="s">
        <v>53</v>
      </c>
      <c r="E5" s="38">
        <v>43830</v>
      </c>
      <c r="F5" s="37" t="s">
        <v>54</v>
      </c>
      <c r="G5" s="37" t="s">
        <v>55</v>
      </c>
      <c r="H5" s="37" t="s">
        <v>56</v>
      </c>
    </row>
    <row r="6" spans="1:9" ht="34.5" customHeight="1" x14ac:dyDescent="0.3">
      <c r="A6" s="39" t="s">
        <v>57</v>
      </c>
      <c r="B6" s="40">
        <v>7</v>
      </c>
      <c r="C6" s="41">
        <v>18000</v>
      </c>
      <c r="D6" s="42">
        <v>0.2</v>
      </c>
      <c r="E6" s="43">
        <f>E11*D6</f>
        <v>8800</v>
      </c>
      <c r="F6" s="40">
        <v>3</v>
      </c>
      <c r="G6" s="43">
        <f>C6-E6</f>
        <v>9200</v>
      </c>
      <c r="H6" s="43">
        <f>SUM(G6/F6)</f>
        <v>3066.6666666666665</v>
      </c>
    </row>
    <row r="7" spans="1:9" ht="34.5" customHeight="1" x14ac:dyDescent="0.3">
      <c r="A7" s="39" t="s">
        <v>58</v>
      </c>
      <c r="B7" s="40">
        <v>20</v>
      </c>
      <c r="C7" s="41">
        <v>120000</v>
      </c>
      <c r="D7" s="42">
        <v>0.4</v>
      </c>
      <c r="E7" s="43">
        <f>E11*D7</f>
        <v>17600</v>
      </c>
      <c r="F7" s="40">
        <v>20</v>
      </c>
      <c r="G7" s="43">
        <f t="shared" ref="G7:G9" si="0">C7-E7</f>
        <v>102400</v>
      </c>
      <c r="H7" s="43">
        <f>SUM(G7/F7)</f>
        <v>5120</v>
      </c>
    </row>
    <row r="8" spans="1:9" ht="34.5" customHeight="1" x14ac:dyDescent="0.3">
      <c r="A8" s="39" t="s">
        <v>65</v>
      </c>
      <c r="B8" s="40">
        <v>20</v>
      </c>
      <c r="C8" s="41">
        <v>50000</v>
      </c>
      <c r="D8" s="42">
        <v>0.2</v>
      </c>
      <c r="E8" s="43">
        <f>E11*D8</f>
        <v>8800</v>
      </c>
      <c r="F8" s="40">
        <v>10</v>
      </c>
      <c r="G8" s="43">
        <f>C8-E8</f>
        <v>41200</v>
      </c>
      <c r="H8" s="43">
        <f>G8/F8</f>
        <v>4120</v>
      </c>
    </row>
    <row r="9" spans="1:9" ht="34.5" customHeight="1" x14ac:dyDescent="0.3">
      <c r="A9" s="39" t="s">
        <v>59</v>
      </c>
      <c r="B9" s="40">
        <v>15</v>
      </c>
      <c r="C9" s="41">
        <v>20000</v>
      </c>
      <c r="D9" s="42">
        <v>0.1</v>
      </c>
      <c r="E9" s="43">
        <f>E11*D9</f>
        <v>4400</v>
      </c>
      <c r="F9" s="40">
        <v>15</v>
      </c>
      <c r="G9" s="43">
        <f t="shared" si="0"/>
        <v>15600</v>
      </c>
      <c r="H9" s="43">
        <f>SUM(G9/F9)</f>
        <v>1040</v>
      </c>
    </row>
    <row r="10" spans="1:9" ht="34.5" customHeight="1" x14ac:dyDescent="0.3">
      <c r="A10" s="39" t="s">
        <v>60</v>
      </c>
      <c r="B10" s="40">
        <v>25</v>
      </c>
      <c r="C10" s="41">
        <v>15000</v>
      </c>
      <c r="D10" s="42">
        <v>0.1</v>
      </c>
      <c r="E10" s="43">
        <f>E11*D10</f>
        <v>4400</v>
      </c>
      <c r="F10" s="40">
        <v>5</v>
      </c>
      <c r="G10" s="43">
        <f>C10-E10</f>
        <v>10600</v>
      </c>
      <c r="H10" s="43">
        <f>SUM(G10/F10)</f>
        <v>2120</v>
      </c>
    </row>
    <row r="11" spans="1:9" ht="34.5" customHeight="1" x14ac:dyDescent="0.3">
      <c r="A11" s="39" t="s">
        <v>61</v>
      </c>
      <c r="B11" s="36"/>
      <c r="C11" s="44">
        <f>SUM(C6:C9)</f>
        <v>208000</v>
      </c>
      <c r="D11" s="45">
        <f>SUM(D6:D10)</f>
        <v>1</v>
      </c>
      <c r="E11" s="46">
        <v>44000</v>
      </c>
      <c r="F11" s="36"/>
      <c r="G11" s="46">
        <f>C11-E11</f>
        <v>164000</v>
      </c>
      <c r="H11" s="46">
        <f>SUM(H6:H10)</f>
        <v>15466.666666666666</v>
      </c>
    </row>
    <row r="12" spans="1:9" ht="34.5" customHeight="1" x14ac:dyDescent="0.3"/>
    <row r="13" spans="1:9" ht="69" customHeight="1" x14ac:dyDescent="0.3">
      <c r="A13" s="103" t="s">
        <v>62</v>
      </c>
      <c r="B13" s="104"/>
      <c r="C13" s="47" t="s">
        <v>66</v>
      </c>
      <c r="I13" s="50">
        <f>H11/28/4</f>
        <v>138.0952380952381</v>
      </c>
    </row>
    <row r="14" spans="1:9" ht="34.5" customHeight="1" x14ac:dyDescent="0.3">
      <c r="A14" s="105"/>
      <c r="B14" s="106"/>
      <c r="C14" s="48">
        <v>842</v>
      </c>
    </row>
    <row r="15" spans="1:9" ht="34.5" customHeight="1" thickBot="1" x14ac:dyDescent="0.35"/>
    <row r="16" spans="1:9" ht="34.5" customHeight="1" x14ac:dyDescent="0.3">
      <c r="A16" s="97" t="s">
        <v>63</v>
      </c>
      <c r="B16" s="98"/>
      <c r="C16" s="98"/>
      <c r="D16" s="98"/>
      <c r="E16" s="98"/>
      <c r="F16" s="98"/>
      <c r="G16" s="98"/>
      <c r="H16" s="99"/>
    </row>
    <row r="17" spans="1:8" ht="34.5" customHeight="1" thickBot="1" x14ac:dyDescent="0.35">
      <c r="A17" s="100"/>
      <c r="B17" s="101"/>
      <c r="C17" s="101"/>
      <c r="D17" s="101"/>
      <c r="E17" s="101"/>
      <c r="F17" s="101"/>
      <c r="G17" s="101"/>
      <c r="H17" s="102"/>
    </row>
  </sheetData>
  <mergeCells count="4">
    <mergeCell ref="A1:I2"/>
    <mergeCell ref="A3:A4"/>
    <mergeCell ref="A16:H17"/>
    <mergeCell ref="A13:B14"/>
  </mergeCells>
  <pageMargins left="0.25" right="0.25" top="0.75" bottom="0.75" header="0.3" footer="0.3"/>
  <pageSetup scale="82" orientation="landscape" r:id="rId1"/>
  <colBreaks count="1" manualBreakCount="1">
    <brk id="8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BA4F46-A861-AB47-AC83-C00FAFA34D5C}">
  <dimension ref="A1:O51"/>
  <sheetViews>
    <sheetView zoomScale="66" zoomScaleNormal="66" workbookViewId="0">
      <pane xSplit="5" ySplit="2" topLeftCell="F3" activePane="bottomRight" state="frozen"/>
      <selection pane="topRight" activeCell="BJ1" sqref="BJ1"/>
      <selection pane="bottomLeft" activeCell="A3" sqref="A3"/>
      <selection pane="bottomRight" activeCell="M24" sqref="M24"/>
    </sheetView>
  </sheetViews>
  <sheetFormatPr defaultColWidth="8.77734375" defaultRowHeight="14.4" x14ac:dyDescent="0.3"/>
  <cols>
    <col min="1" max="4" width="3" style="1" customWidth="1"/>
    <col min="5" max="5" width="32.44140625" style="1" customWidth="1"/>
    <col min="6" max="6" width="2.21875" customWidth="1"/>
    <col min="7" max="7" width="16.77734375" style="2" bestFit="1" customWidth="1"/>
    <col min="8" max="8" width="24.5546875" style="2" bestFit="1" customWidth="1"/>
    <col min="9" max="9" width="17.77734375" style="15" customWidth="1"/>
    <col min="10" max="10" width="9.44140625" bestFit="1" customWidth="1"/>
    <col min="11" max="11" width="11.44140625" bestFit="1" customWidth="1"/>
    <col min="12" max="12" width="10.44140625" bestFit="1" customWidth="1"/>
    <col min="14" max="14" width="11.21875" bestFit="1" customWidth="1"/>
  </cols>
  <sheetData>
    <row r="1" spans="1:15" ht="15" customHeight="1" x14ac:dyDescent="0.3">
      <c r="A1" s="86" t="s">
        <v>68</v>
      </c>
      <c r="B1" s="87"/>
      <c r="C1" s="87"/>
      <c r="D1" s="87"/>
      <c r="E1" s="87"/>
      <c r="F1" s="2"/>
      <c r="G1" s="4" t="s">
        <v>8</v>
      </c>
      <c r="H1" s="4" t="s">
        <v>10</v>
      </c>
      <c r="I1" s="14" t="s">
        <v>9</v>
      </c>
    </row>
    <row r="2" spans="1:15" s="2" customFormat="1" ht="16.2" thickBot="1" x14ac:dyDescent="0.35">
      <c r="A2" s="87"/>
      <c r="B2" s="87"/>
      <c r="C2" s="87"/>
      <c r="D2" s="87"/>
      <c r="E2" s="87"/>
      <c r="F2" s="3"/>
      <c r="G2" s="5">
        <v>2020</v>
      </c>
      <c r="H2" s="5">
        <v>2020</v>
      </c>
      <c r="I2" s="5">
        <v>2021</v>
      </c>
    </row>
    <row r="3" spans="1:15" ht="15.6" x14ac:dyDescent="0.3">
      <c r="A3" s="8"/>
      <c r="B3" s="8" t="s">
        <v>0</v>
      </c>
      <c r="C3" s="8"/>
      <c r="D3" s="8"/>
      <c r="E3" s="8"/>
      <c r="G3" s="20"/>
      <c r="H3" s="20"/>
      <c r="I3" s="31"/>
    </row>
    <row r="4" spans="1:15" ht="15.6" x14ac:dyDescent="0.3">
      <c r="A4" s="8"/>
      <c r="B4" s="8"/>
      <c r="C4" s="8" t="s">
        <v>1</v>
      </c>
      <c r="D4" s="8"/>
      <c r="E4" s="8"/>
      <c r="F4" s="6"/>
      <c r="G4" s="31">
        <v>1400</v>
      </c>
      <c r="H4" s="51">
        <v>150</v>
      </c>
      <c r="I4" s="31">
        <v>1400</v>
      </c>
    </row>
    <row r="5" spans="1:15" ht="16.2" thickBot="1" x14ac:dyDescent="0.35">
      <c r="A5" s="8"/>
      <c r="B5" s="8"/>
      <c r="C5" s="8" t="s">
        <v>12</v>
      </c>
      <c r="D5" s="8"/>
      <c r="E5" s="8"/>
      <c r="F5" s="6"/>
      <c r="G5" s="32">
        <f>150*4*13</f>
        <v>7800</v>
      </c>
      <c r="H5" s="20">
        <f>3150*2</f>
        <v>6300</v>
      </c>
      <c r="I5" s="32">
        <f>150*4*13</f>
        <v>7800</v>
      </c>
      <c r="K5" s="33">
        <f>842*4*28</f>
        <v>94304</v>
      </c>
    </row>
    <row r="6" spans="1:15" ht="15.6" x14ac:dyDescent="0.3">
      <c r="A6" s="8"/>
      <c r="B6" s="8"/>
      <c r="C6" s="8" t="s">
        <v>69</v>
      </c>
      <c r="D6" s="8"/>
      <c r="E6" s="8"/>
      <c r="F6" s="6"/>
      <c r="G6" s="32">
        <v>0</v>
      </c>
      <c r="H6" s="20">
        <v>28000</v>
      </c>
      <c r="I6" s="32">
        <v>0</v>
      </c>
      <c r="K6" s="32"/>
    </row>
    <row r="7" spans="1:15" ht="15.6" x14ac:dyDescent="0.3">
      <c r="A7" s="8"/>
      <c r="B7" s="8"/>
      <c r="C7" s="8" t="s">
        <v>13</v>
      </c>
      <c r="D7" s="8"/>
      <c r="E7" s="8"/>
      <c r="F7" s="6"/>
      <c r="G7" s="32">
        <v>2000</v>
      </c>
      <c r="H7" s="20">
        <v>1400</v>
      </c>
      <c r="I7" s="32">
        <v>2000</v>
      </c>
    </row>
    <row r="8" spans="1:15" ht="15.6" x14ac:dyDescent="0.3">
      <c r="A8" s="8"/>
      <c r="B8" s="8"/>
      <c r="C8" s="8" t="s">
        <v>2</v>
      </c>
      <c r="D8" s="8"/>
      <c r="E8" s="8"/>
      <c r="F8" s="6"/>
      <c r="G8" s="32">
        <v>100</v>
      </c>
      <c r="H8" s="20">
        <v>0</v>
      </c>
      <c r="I8" s="32">
        <v>100</v>
      </c>
    </row>
    <row r="9" spans="1:15" ht="15.6" x14ac:dyDescent="0.3">
      <c r="A9" s="8"/>
      <c r="B9" s="8"/>
      <c r="C9" s="8" t="s">
        <v>39</v>
      </c>
      <c r="D9" s="8"/>
      <c r="E9" s="8"/>
      <c r="F9" s="6"/>
      <c r="G9" s="32">
        <v>15466.67</v>
      </c>
      <c r="H9" s="20">
        <f>3339*4</f>
        <v>13356</v>
      </c>
      <c r="I9" s="20">
        <f>59*28*4</f>
        <v>6608</v>
      </c>
      <c r="N9">
        <f>842*28*4</f>
        <v>94304</v>
      </c>
    </row>
    <row r="10" spans="1:15" ht="16.2" thickBot="1" x14ac:dyDescent="0.35">
      <c r="A10" s="8"/>
      <c r="B10" s="8"/>
      <c r="C10" s="8" t="s">
        <v>3</v>
      </c>
      <c r="D10" s="8"/>
      <c r="E10" s="8"/>
      <c r="F10" s="6"/>
      <c r="G10" s="33">
        <v>78837.33</v>
      </c>
      <c r="H10" s="27">
        <v>80948</v>
      </c>
      <c r="I10" s="33">
        <f>K5-H9+4702+2000</f>
        <v>87650</v>
      </c>
      <c r="K10" s="7"/>
      <c r="M10">
        <v>750</v>
      </c>
      <c r="N10">
        <f>750*4*28</f>
        <v>84000</v>
      </c>
      <c r="O10">
        <f>N10-15466.67</f>
        <v>68533.33</v>
      </c>
    </row>
    <row r="11" spans="1:15" ht="15.6" x14ac:dyDescent="0.3">
      <c r="A11" s="8"/>
      <c r="B11" s="8" t="s">
        <v>4</v>
      </c>
      <c r="C11" s="8"/>
      <c r="D11" s="8"/>
      <c r="E11" s="8"/>
      <c r="F11" s="6"/>
      <c r="G11" s="26">
        <f>SUM(G4:G10)</f>
        <v>105604</v>
      </c>
      <c r="H11" s="28">
        <f>SUM(H4:H10)</f>
        <v>130154</v>
      </c>
      <c r="I11" s="26">
        <f>SUM(I4:I10)</f>
        <v>105558</v>
      </c>
      <c r="K11">
        <f>842*28*4</f>
        <v>94304</v>
      </c>
      <c r="M11">
        <v>800</v>
      </c>
      <c r="N11">
        <f>800*4*28</f>
        <v>89600</v>
      </c>
      <c r="O11">
        <f>N11-15466.67</f>
        <v>74133.33</v>
      </c>
    </row>
    <row r="12" spans="1:15" ht="15.6" x14ac:dyDescent="0.3">
      <c r="A12" s="8"/>
      <c r="B12" s="8" t="s">
        <v>5</v>
      </c>
      <c r="C12" s="8"/>
      <c r="D12" s="8"/>
      <c r="E12" s="8"/>
      <c r="F12" s="6"/>
      <c r="G12" s="20"/>
      <c r="H12" s="20"/>
      <c r="I12" s="20"/>
      <c r="K12" s="52">
        <f>K11-H9</f>
        <v>80948</v>
      </c>
    </row>
    <row r="13" spans="1:15" ht="15.6" x14ac:dyDescent="0.3">
      <c r="A13" s="8"/>
      <c r="B13" s="8"/>
      <c r="C13" s="8" t="s">
        <v>14</v>
      </c>
      <c r="D13" s="8"/>
      <c r="E13" s="8"/>
      <c r="F13" s="6"/>
      <c r="G13" s="32">
        <v>2500</v>
      </c>
      <c r="H13" s="20">
        <v>2200</v>
      </c>
      <c r="I13" s="32">
        <v>2200</v>
      </c>
    </row>
    <row r="14" spans="1:15" ht="15.6" x14ac:dyDescent="0.3">
      <c r="A14" s="8"/>
      <c r="B14" s="8"/>
      <c r="C14" s="8" t="s">
        <v>15</v>
      </c>
      <c r="D14" s="8"/>
      <c r="E14" s="8"/>
      <c r="F14" s="6"/>
      <c r="G14" s="32">
        <v>18500</v>
      </c>
      <c r="H14" s="20">
        <v>19000</v>
      </c>
      <c r="I14" s="32">
        <v>20000</v>
      </c>
      <c r="K14" s="52"/>
    </row>
    <row r="15" spans="1:15" ht="15.6" x14ac:dyDescent="0.3">
      <c r="A15" s="8"/>
      <c r="B15" s="8"/>
      <c r="C15" s="8" t="s">
        <v>16</v>
      </c>
      <c r="D15" s="49"/>
      <c r="E15" s="49"/>
      <c r="F15" s="6"/>
      <c r="G15" s="32">
        <v>3100</v>
      </c>
      <c r="H15" s="20">
        <v>4000</v>
      </c>
      <c r="I15" s="32">
        <v>4100</v>
      </c>
    </row>
    <row r="16" spans="1:15" ht="15.6" x14ac:dyDescent="0.3">
      <c r="A16" s="8"/>
      <c r="B16" s="8"/>
      <c r="C16" s="8" t="s">
        <v>17</v>
      </c>
      <c r="D16" s="8"/>
      <c r="E16" s="8"/>
      <c r="F16" s="6"/>
      <c r="G16" s="32">
        <v>500</v>
      </c>
      <c r="H16" s="20">
        <v>650</v>
      </c>
      <c r="I16" s="32">
        <v>650</v>
      </c>
      <c r="K16" s="52"/>
      <c r="M16" s="52"/>
    </row>
    <row r="17" spans="1:12" ht="15.6" x14ac:dyDescent="0.3">
      <c r="A17" s="8"/>
      <c r="B17" s="8"/>
      <c r="C17" s="8" t="s">
        <v>18</v>
      </c>
      <c r="D17" s="8"/>
      <c r="E17" s="8"/>
      <c r="F17" s="6"/>
      <c r="G17" s="32">
        <v>2000</v>
      </c>
      <c r="H17" s="20">
        <f>275*4</f>
        <v>1100</v>
      </c>
      <c r="I17" s="32">
        <v>1200</v>
      </c>
      <c r="L17">
        <v>41865</v>
      </c>
    </row>
    <row r="18" spans="1:12" ht="15.6" x14ac:dyDescent="0.3">
      <c r="A18" s="8"/>
      <c r="B18" s="8"/>
      <c r="C18" s="8" t="s">
        <v>19</v>
      </c>
      <c r="D18" s="8"/>
      <c r="E18" s="8"/>
      <c r="F18" s="24"/>
      <c r="G18" s="32">
        <v>28000</v>
      </c>
      <c r="H18" s="20">
        <v>30000</v>
      </c>
      <c r="I18" s="32">
        <v>32000</v>
      </c>
    </row>
    <row r="19" spans="1:12" ht="15.6" x14ac:dyDescent="0.3">
      <c r="A19" s="8"/>
      <c r="B19" s="8"/>
      <c r="C19" s="8" t="s">
        <v>20</v>
      </c>
      <c r="D19" s="8"/>
      <c r="E19" s="8"/>
      <c r="F19" s="6"/>
      <c r="G19" s="32">
        <v>8000</v>
      </c>
      <c r="H19" s="20">
        <v>6200</v>
      </c>
      <c r="I19" s="32">
        <v>6500</v>
      </c>
      <c r="J19" s="58"/>
      <c r="K19" s="59"/>
      <c r="L19" s="58"/>
    </row>
    <row r="20" spans="1:12" ht="15.6" x14ac:dyDescent="0.3">
      <c r="A20" s="8"/>
      <c r="B20" s="8"/>
      <c r="C20" s="8" t="s">
        <v>72</v>
      </c>
      <c r="D20" s="8"/>
      <c r="E20" s="8"/>
      <c r="F20" s="6"/>
      <c r="G20" s="32">
        <v>0</v>
      </c>
      <c r="H20" s="20">
        <v>0</v>
      </c>
      <c r="I20" s="32"/>
      <c r="J20" s="58"/>
      <c r="K20" s="58"/>
      <c r="L20" s="58"/>
    </row>
    <row r="21" spans="1:12" ht="15.6" x14ac:dyDescent="0.3">
      <c r="A21" s="8"/>
      <c r="B21" s="8"/>
      <c r="C21" s="8" t="s">
        <v>22</v>
      </c>
      <c r="D21" s="8"/>
      <c r="E21" s="8"/>
      <c r="F21" s="6"/>
      <c r="G21" s="32">
        <v>1600</v>
      </c>
      <c r="H21" s="20">
        <f>214*12</f>
        <v>2568</v>
      </c>
      <c r="I21" s="32">
        <v>2600</v>
      </c>
      <c r="L21" s="52"/>
    </row>
    <row r="22" spans="1:12" ht="21.6" customHeight="1" x14ac:dyDescent="0.3">
      <c r="A22" s="8"/>
      <c r="B22" s="8"/>
      <c r="C22" s="8" t="s">
        <v>23</v>
      </c>
      <c r="D22" s="8"/>
      <c r="E22" s="8"/>
      <c r="F22" s="6"/>
      <c r="G22" s="32">
        <v>1500</v>
      </c>
      <c r="H22" s="20">
        <v>500</v>
      </c>
      <c r="I22" s="32">
        <v>1500</v>
      </c>
    </row>
    <row r="23" spans="1:12" ht="15.6" x14ac:dyDescent="0.3">
      <c r="A23" s="8"/>
      <c r="B23" s="8"/>
      <c r="C23" s="8" t="s">
        <v>24</v>
      </c>
      <c r="D23" s="8"/>
      <c r="E23" s="8"/>
      <c r="F23" s="6"/>
      <c r="G23" s="32">
        <v>100</v>
      </c>
      <c r="H23" s="20">
        <v>0</v>
      </c>
      <c r="I23" s="32">
        <v>100</v>
      </c>
    </row>
    <row r="24" spans="1:12" ht="15.6" x14ac:dyDescent="0.3">
      <c r="A24" s="8"/>
      <c r="B24" s="8"/>
      <c r="C24" s="8" t="s">
        <v>25</v>
      </c>
      <c r="D24" s="8"/>
      <c r="E24" s="8"/>
      <c r="F24" s="6"/>
      <c r="G24" s="32">
        <v>2737</v>
      </c>
      <c r="H24" s="20">
        <v>3000</v>
      </c>
      <c r="I24" s="32">
        <v>3000</v>
      </c>
    </row>
    <row r="25" spans="1:12" ht="15.6" x14ac:dyDescent="0.3">
      <c r="A25" s="8"/>
      <c r="B25" s="8"/>
      <c r="C25" s="8" t="s">
        <v>38</v>
      </c>
      <c r="D25" s="8"/>
      <c r="E25" s="8"/>
      <c r="F25" s="6"/>
      <c r="G25" s="32">
        <v>10000</v>
      </c>
      <c r="H25" s="20">
        <v>4000</v>
      </c>
      <c r="I25" s="32">
        <v>5000</v>
      </c>
    </row>
    <row r="26" spans="1:12" ht="15.6" x14ac:dyDescent="0.3">
      <c r="A26" s="8"/>
      <c r="B26" s="8"/>
      <c r="C26" s="8" t="s">
        <v>26</v>
      </c>
      <c r="D26" s="8"/>
      <c r="E26" s="8"/>
      <c r="F26" s="6"/>
      <c r="G26" s="32">
        <v>5000</v>
      </c>
      <c r="H26" s="20">
        <v>77000</v>
      </c>
      <c r="I26" s="32">
        <v>5000</v>
      </c>
    </row>
    <row r="27" spans="1:12" ht="15.6" x14ac:dyDescent="0.3">
      <c r="A27" s="8"/>
      <c r="B27" s="8"/>
      <c r="C27" s="8" t="s">
        <v>28</v>
      </c>
      <c r="D27" s="8"/>
      <c r="E27" s="8"/>
      <c r="F27" s="6"/>
      <c r="G27" s="32">
        <v>1600</v>
      </c>
      <c r="H27" s="20">
        <v>1800</v>
      </c>
      <c r="I27" s="32">
        <v>1800</v>
      </c>
    </row>
    <row r="28" spans="1:12" ht="22.5" customHeight="1" x14ac:dyDescent="0.3">
      <c r="A28" s="8"/>
      <c r="B28" s="8"/>
      <c r="C28" s="8" t="s">
        <v>29</v>
      </c>
      <c r="D28" s="8"/>
      <c r="E28" s="8"/>
      <c r="F28" s="6"/>
      <c r="G28" s="32">
        <v>500</v>
      </c>
      <c r="H28" s="20">
        <v>9000</v>
      </c>
      <c r="I28" s="32">
        <v>5000</v>
      </c>
    </row>
    <row r="29" spans="1:12" ht="15.6" x14ac:dyDescent="0.3">
      <c r="A29" s="8"/>
      <c r="B29" s="8"/>
      <c r="C29" s="8" t="s">
        <v>6</v>
      </c>
      <c r="D29" s="8"/>
      <c r="E29" s="8"/>
      <c r="F29" s="6"/>
      <c r="G29" s="32">
        <v>700</v>
      </c>
      <c r="H29" s="20">
        <v>240</v>
      </c>
      <c r="I29" s="32">
        <v>250</v>
      </c>
    </row>
    <row r="30" spans="1:12" ht="15.6" x14ac:dyDescent="0.3">
      <c r="A30" s="8"/>
      <c r="B30" s="8"/>
      <c r="C30" s="8" t="s">
        <v>31</v>
      </c>
      <c r="D30" s="8"/>
      <c r="E30" s="8"/>
      <c r="F30" s="6"/>
      <c r="G30" s="32">
        <v>1200</v>
      </c>
      <c r="H30" s="20">
        <v>220</v>
      </c>
      <c r="I30" s="32">
        <v>250</v>
      </c>
    </row>
    <row r="31" spans="1:12" ht="15.6" x14ac:dyDescent="0.3">
      <c r="A31" s="8"/>
      <c r="B31" s="8"/>
      <c r="C31" s="8" t="s">
        <v>34</v>
      </c>
      <c r="D31" s="8"/>
      <c r="E31" s="8"/>
      <c r="F31" s="6"/>
      <c r="G31" s="32">
        <v>600</v>
      </c>
      <c r="H31" s="20">
        <v>0</v>
      </c>
      <c r="I31" s="32">
        <v>600</v>
      </c>
    </row>
    <row r="32" spans="1:12" ht="15.6" x14ac:dyDescent="0.3">
      <c r="A32" s="8"/>
      <c r="B32" s="8"/>
      <c r="C32" s="8" t="s">
        <v>36</v>
      </c>
      <c r="D32" s="8"/>
      <c r="E32" s="8"/>
      <c r="F32" s="6"/>
      <c r="G32" s="32">
        <f>350*12</f>
        <v>4200</v>
      </c>
      <c r="H32" s="20">
        <f>350*12</f>
        <v>4200</v>
      </c>
      <c r="I32" s="32">
        <f>350*12</f>
        <v>4200</v>
      </c>
    </row>
    <row r="33" spans="1:14" ht="16.2" thickBot="1" x14ac:dyDescent="0.35">
      <c r="A33" s="8"/>
      <c r="C33" s="8" t="s">
        <v>37</v>
      </c>
      <c r="D33" s="8"/>
      <c r="E33" s="8"/>
      <c r="F33" s="6"/>
      <c r="G33" s="33">
        <v>3000</v>
      </c>
      <c r="H33" s="27">
        <v>3000</v>
      </c>
      <c r="I33" s="33">
        <v>3000</v>
      </c>
      <c r="L33" s="52">
        <f>I10/28/4</f>
        <v>782.58928571428567</v>
      </c>
    </row>
    <row r="34" spans="1:14" s="1" customFormat="1" ht="15.6" x14ac:dyDescent="0.3">
      <c r="A34" s="9"/>
      <c r="B34" s="8" t="s">
        <v>7</v>
      </c>
      <c r="C34" s="8"/>
      <c r="D34" s="8"/>
      <c r="E34" s="8"/>
      <c r="F34" s="17"/>
      <c r="G34" s="25">
        <f>SUM(G13:G33)</f>
        <v>95337</v>
      </c>
      <c r="H34" s="29">
        <f>SUM(H13:H33)</f>
        <v>168678</v>
      </c>
      <c r="I34" s="25">
        <f>SUM(I13:I33)</f>
        <v>98950</v>
      </c>
    </row>
    <row r="35" spans="1:14" ht="15" customHeight="1" x14ac:dyDescent="0.3">
      <c r="A35" s="10"/>
      <c r="B35" s="10"/>
      <c r="C35" s="9"/>
      <c r="D35" s="9"/>
      <c r="E35" s="9"/>
      <c r="F35" s="18"/>
      <c r="G35" s="34"/>
      <c r="H35" s="34"/>
      <c r="I35" s="34"/>
    </row>
    <row r="36" spans="1:14" ht="37.5" customHeight="1" thickBot="1" x14ac:dyDescent="0.35">
      <c r="A36" s="10"/>
      <c r="B36" s="10"/>
      <c r="C36" s="89" t="s">
        <v>39</v>
      </c>
      <c r="D36" s="89"/>
      <c r="E36" s="89"/>
      <c r="F36" s="18"/>
      <c r="G36" s="30">
        <f>'reserves 2020'!F11</f>
        <v>0</v>
      </c>
      <c r="H36" s="30">
        <v>13355</v>
      </c>
      <c r="I36" s="27">
        <v>6608</v>
      </c>
      <c r="L36">
        <f>783+59</f>
        <v>842</v>
      </c>
    </row>
    <row r="37" spans="1:14" ht="15.6" x14ac:dyDescent="0.3">
      <c r="C37" s="89" t="s">
        <v>40</v>
      </c>
      <c r="D37" s="89"/>
      <c r="E37" s="89"/>
      <c r="F37" s="6"/>
      <c r="G37" s="11">
        <f>SUM(G34+G36)</f>
        <v>95337</v>
      </c>
      <c r="H37" s="28">
        <f>SUM(H36+H34)</f>
        <v>182033</v>
      </c>
      <c r="I37" s="11">
        <f>SUM(I34+I36)</f>
        <v>105558</v>
      </c>
    </row>
    <row r="38" spans="1:14" ht="16.2" thickBot="1" x14ac:dyDescent="0.35">
      <c r="F38" s="6"/>
      <c r="G38" s="6"/>
      <c r="H38" s="6"/>
      <c r="I38" s="21"/>
    </row>
    <row r="39" spans="1:14" ht="15.6" customHeight="1" x14ac:dyDescent="0.3">
      <c r="C39" s="107" t="s">
        <v>75</v>
      </c>
      <c r="D39" s="108"/>
      <c r="E39" s="108"/>
      <c r="F39" s="108"/>
      <c r="G39" s="108"/>
      <c r="H39" s="108"/>
      <c r="I39" s="109"/>
      <c r="J39" s="58"/>
      <c r="K39" s="58"/>
      <c r="L39" s="58"/>
      <c r="M39" s="58"/>
      <c r="N39" s="59"/>
    </row>
    <row r="40" spans="1:14" ht="16.2" thickBot="1" x14ac:dyDescent="0.35">
      <c r="A40" s="12"/>
      <c r="B40" s="12"/>
      <c r="C40" s="110"/>
      <c r="D40" s="111"/>
      <c r="E40" s="111"/>
      <c r="F40" s="111"/>
      <c r="G40" s="111"/>
      <c r="H40" s="111"/>
      <c r="I40" s="112"/>
    </row>
    <row r="41" spans="1:14" ht="15.6" x14ac:dyDescent="0.3">
      <c r="A41" s="13"/>
      <c r="B41" s="13"/>
      <c r="C41" s="12"/>
      <c r="D41" s="12"/>
      <c r="E41" s="12"/>
      <c r="F41" s="91"/>
      <c r="G41" s="91"/>
      <c r="H41" s="6"/>
      <c r="I41" s="22"/>
    </row>
    <row r="42" spans="1:14" ht="15.6" x14ac:dyDescent="0.3">
      <c r="A42" s="13"/>
      <c r="B42" s="13"/>
      <c r="C42" s="13"/>
      <c r="D42" s="13"/>
      <c r="E42" s="90"/>
      <c r="F42" s="91"/>
      <c r="G42" s="91"/>
      <c r="H42" s="19"/>
      <c r="I42" s="22"/>
    </row>
    <row r="43" spans="1:14" ht="15.6" x14ac:dyDescent="0.3">
      <c r="A43" s="13"/>
      <c r="B43" s="13"/>
      <c r="C43" s="13"/>
      <c r="D43" s="13"/>
      <c r="E43" s="90"/>
      <c r="F43" s="91"/>
      <c r="G43" s="91"/>
      <c r="H43" s="6"/>
      <c r="I43" s="23"/>
    </row>
    <row r="44" spans="1:14" ht="15.6" x14ac:dyDescent="0.3">
      <c r="A44" s="13"/>
      <c r="B44" s="13"/>
      <c r="C44" s="13"/>
      <c r="D44" s="13"/>
      <c r="E44" s="90"/>
      <c r="F44" s="91"/>
      <c r="G44" s="91"/>
      <c r="H44" s="19"/>
      <c r="I44" s="23"/>
    </row>
    <row r="45" spans="1:14" ht="15.6" x14ac:dyDescent="0.3">
      <c r="A45" s="13"/>
      <c r="B45" s="13"/>
      <c r="C45" s="13"/>
      <c r="D45" s="13"/>
      <c r="E45" s="90"/>
      <c r="F45" s="91"/>
      <c r="G45" s="91"/>
      <c r="H45" s="6"/>
      <c r="I45" s="23"/>
    </row>
    <row r="46" spans="1:14" ht="15.6" x14ac:dyDescent="0.3">
      <c r="A46" s="13"/>
      <c r="B46" s="13"/>
      <c r="C46" s="13"/>
      <c r="D46" s="13"/>
      <c r="E46" s="90"/>
      <c r="F46" s="91"/>
      <c r="G46" s="91"/>
      <c r="H46" s="20"/>
      <c r="I46" s="23"/>
    </row>
    <row r="47" spans="1:14" x14ac:dyDescent="0.3">
      <c r="A47" s="13"/>
      <c r="B47" s="13"/>
      <c r="C47" s="13"/>
      <c r="D47" s="13"/>
      <c r="E47" s="90"/>
      <c r="F47" s="92"/>
      <c r="G47" s="92"/>
    </row>
    <row r="48" spans="1:14" x14ac:dyDescent="0.3">
      <c r="A48" s="13"/>
      <c r="B48" s="13"/>
      <c r="C48" s="13"/>
      <c r="D48" s="13"/>
      <c r="E48" s="90"/>
      <c r="F48" s="92"/>
      <c r="G48" s="92"/>
      <c r="H48" s="16"/>
    </row>
    <row r="49" spans="1:8" x14ac:dyDescent="0.3">
      <c r="A49" s="13"/>
      <c r="B49" s="13"/>
      <c r="C49" s="13"/>
      <c r="D49" s="13"/>
      <c r="E49" s="90"/>
      <c r="F49" s="92"/>
      <c r="G49" s="92"/>
    </row>
    <row r="50" spans="1:8" x14ac:dyDescent="0.3">
      <c r="A50" s="13"/>
      <c r="B50" s="13"/>
      <c r="C50" s="13"/>
      <c r="D50" s="13"/>
      <c r="E50" s="90"/>
      <c r="F50" s="92"/>
      <c r="G50" s="92"/>
      <c r="H50" s="16"/>
    </row>
    <row r="51" spans="1:8" x14ac:dyDescent="0.3">
      <c r="C51" s="13"/>
      <c r="D51" s="13"/>
      <c r="E51" s="90"/>
    </row>
  </sheetData>
  <mergeCells count="14">
    <mergeCell ref="F47:G48"/>
    <mergeCell ref="E48:E49"/>
    <mergeCell ref="F49:G50"/>
    <mergeCell ref="E50:E51"/>
    <mergeCell ref="A1:E2"/>
    <mergeCell ref="C36:E36"/>
    <mergeCell ref="C37:E37"/>
    <mergeCell ref="F41:G42"/>
    <mergeCell ref="E42:E43"/>
    <mergeCell ref="F43:G44"/>
    <mergeCell ref="E44:E45"/>
    <mergeCell ref="F45:G46"/>
    <mergeCell ref="E46:E47"/>
    <mergeCell ref="C39:I40"/>
  </mergeCells>
  <printOptions horizontalCentered="1" verticalCentered="1"/>
  <pageMargins left="0.45" right="0.45" top="0.75" bottom="0.75" header="0.3" footer="0.3"/>
  <pageSetup scale="71" orientation="portrait" r:id="rId1"/>
  <headerFooter>
    <oddHeader>&amp;CVilla Rio Condominium Association, Inc.
Budget for 2020
January 1, 2020 to December 31, 2020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3B6BC-13CA-ED48-8588-FFC2E96DD68A}">
  <dimension ref="A1:K22"/>
  <sheetViews>
    <sheetView view="pageBreakPreview" topLeftCell="B4" zoomScaleNormal="100" zoomScaleSheetLayoutView="100" workbookViewId="0">
      <selection activeCell="F11" sqref="F11"/>
    </sheetView>
  </sheetViews>
  <sheetFormatPr defaultColWidth="9.21875" defaultRowHeight="15.6" x14ac:dyDescent="0.3"/>
  <cols>
    <col min="1" max="1" width="34.5546875" style="35" customWidth="1"/>
    <col min="2" max="2" width="12.44140625" style="35" customWidth="1"/>
    <col min="3" max="3" width="18.21875" style="35" bestFit="1" customWidth="1"/>
    <col min="4" max="4" width="19" style="35" bestFit="1" customWidth="1"/>
    <col min="5" max="5" width="15.44140625" style="35" bestFit="1" customWidth="1"/>
    <col min="6" max="6" width="22.44140625" style="35" customWidth="1"/>
    <col min="7" max="7" width="22.77734375" style="35" bestFit="1" customWidth="1"/>
    <col min="8" max="8" width="18.5546875" style="35" customWidth="1"/>
    <col min="9" max="9" width="16.77734375" style="35" customWidth="1"/>
    <col min="10" max="10" width="20.44140625" style="35" customWidth="1"/>
    <col min="11" max="11" width="10.77734375" style="35" bestFit="1" customWidth="1"/>
    <col min="12" max="16384" width="9.21875" style="35"/>
  </cols>
  <sheetData>
    <row r="1" spans="1:11" x14ac:dyDescent="0.3">
      <c r="A1" s="93" t="s">
        <v>67</v>
      </c>
      <c r="B1" s="93"/>
      <c r="C1" s="93"/>
      <c r="D1" s="93"/>
      <c r="E1" s="93"/>
      <c r="F1" s="93"/>
      <c r="G1" s="93"/>
      <c r="H1" s="93"/>
      <c r="I1" s="93"/>
    </row>
    <row r="2" spans="1:11" x14ac:dyDescent="0.3">
      <c r="A2" s="94"/>
      <c r="B2" s="94"/>
      <c r="C2" s="94"/>
      <c r="D2" s="94"/>
      <c r="E2" s="94"/>
      <c r="F2" s="94"/>
      <c r="G2" s="94"/>
      <c r="H2" s="94"/>
      <c r="I2" s="94"/>
    </row>
    <row r="3" spans="1:11" ht="34.5" customHeight="1" x14ac:dyDescent="0.3">
      <c r="A3" s="95" t="s">
        <v>42</v>
      </c>
      <c r="B3" s="36" t="s">
        <v>43</v>
      </c>
      <c r="C3" s="36" t="s">
        <v>43</v>
      </c>
      <c r="D3" s="36" t="s">
        <v>44</v>
      </c>
      <c r="E3" s="36" t="s">
        <v>45</v>
      </c>
      <c r="F3" s="36" t="s">
        <v>46</v>
      </c>
      <c r="G3" s="36" t="s">
        <v>47</v>
      </c>
      <c r="H3" s="54" t="s">
        <v>48</v>
      </c>
      <c r="I3" s="63"/>
    </row>
    <row r="4" spans="1:11" ht="34.5" customHeight="1" x14ac:dyDescent="0.3">
      <c r="A4" s="96"/>
      <c r="B4" s="36" t="s">
        <v>49</v>
      </c>
      <c r="C4" s="36" t="s">
        <v>50</v>
      </c>
      <c r="D4" s="36" t="s">
        <v>51</v>
      </c>
      <c r="E4" s="36" t="s">
        <v>39</v>
      </c>
      <c r="F4" s="36" t="s">
        <v>52</v>
      </c>
      <c r="G4" s="36" t="s">
        <v>48</v>
      </c>
      <c r="H4" s="36" t="s">
        <v>68</v>
      </c>
      <c r="I4" s="113" t="s">
        <v>76</v>
      </c>
    </row>
    <row r="5" spans="1:11" ht="34.5" customHeight="1" x14ac:dyDescent="0.3">
      <c r="A5" s="36"/>
      <c r="B5" s="37"/>
      <c r="C5" s="37"/>
      <c r="D5" s="37" t="s">
        <v>53</v>
      </c>
      <c r="E5" s="38">
        <v>44196</v>
      </c>
      <c r="F5" s="37" t="s">
        <v>54</v>
      </c>
      <c r="G5" s="37" t="s">
        <v>55</v>
      </c>
      <c r="H5" s="37" t="s">
        <v>56</v>
      </c>
      <c r="I5" s="114"/>
    </row>
    <row r="6" spans="1:11" ht="34.5" customHeight="1" x14ac:dyDescent="0.3">
      <c r="A6" s="39" t="s">
        <v>57</v>
      </c>
      <c r="B6" s="40">
        <v>7</v>
      </c>
      <c r="C6" s="41">
        <v>18000</v>
      </c>
      <c r="D6" s="42">
        <v>0.2</v>
      </c>
      <c r="E6" s="43">
        <f>E11*D6</f>
        <v>11733.748</v>
      </c>
      <c r="F6" s="40">
        <v>2</v>
      </c>
      <c r="G6" s="43">
        <f>C6-E6</f>
        <v>6266.2520000000004</v>
      </c>
      <c r="H6" s="43">
        <f>SUM(G6/F6)</f>
        <v>3133.1260000000002</v>
      </c>
      <c r="I6" s="43">
        <f>H6*0.25</f>
        <v>783.28150000000005</v>
      </c>
    </row>
    <row r="7" spans="1:11" ht="34.5" customHeight="1" x14ac:dyDescent="0.3">
      <c r="A7" s="39" t="s">
        <v>58</v>
      </c>
      <c r="B7" s="40">
        <v>20</v>
      </c>
      <c r="C7" s="41">
        <v>120000</v>
      </c>
      <c r="D7" s="42">
        <v>0.4</v>
      </c>
      <c r="E7" s="43">
        <f>E11*D7</f>
        <v>23467.495999999999</v>
      </c>
      <c r="F7" s="40">
        <v>10</v>
      </c>
      <c r="G7" s="43">
        <f t="shared" ref="G7:G9" si="0">C7-E7</f>
        <v>96532.504000000001</v>
      </c>
      <c r="H7" s="43">
        <f>SUM(G7/F7)</f>
        <v>9653.2504000000008</v>
      </c>
      <c r="I7" s="43">
        <f>H7*0.25</f>
        <v>2413.3126000000002</v>
      </c>
    </row>
    <row r="8" spans="1:11" ht="34.5" customHeight="1" x14ac:dyDescent="0.3">
      <c r="A8" s="39" t="s">
        <v>73</v>
      </c>
      <c r="B8" s="40">
        <v>20</v>
      </c>
      <c r="C8" s="41">
        <v>80000</v>
      </c>
      <c r="D8" s="42">
        <v>0.2</v>
      </c>
      <c r="E8" s="43">
        <f>E11*D8</f>
        <v>11733.748</v>
      </c>
      <c r="F8" s="40">
        <v>6</v>
      </c>
      <c r="G8" s="43">
        <f>C8-E8</f>
        <v>68266.252000000008</v>
      </c>
      <c r="H8" s="43">
        <f>G8/F8</f>
        <v>11377.708666666667</v>
      </c>
      <c r="I8" s="43">
        <f>H8*0.25</f>
        <v>2844.4271666666668</v>
      </c>
    </row>
    <row r="9" spans="1:11" ht="34.5" customHeight="1" x14ac:dyDescent="0.3">
      <c r="A9" s="39" t="s">
        <v>59</v>
      </c>
      <c r="B9" s="40">
        <v>15</v>
      </c>
      <c r="C9" s="41">
        <v>20000</v>
      </c>
      <c r="D9" s="42">
        <v>0.1</v>
      </c>
      <c r="E9" s="43">
        <f>E11*D9</f>
        <v>5866.8739999999998</v>
      </c>
      <c r="F9" s="40">
        <v>14</v>
      </c>
      <c r="G9" s="43">
        <f t="shared" si="0"/>
        <v>14133.126</v>
      </c>
      <c r="H9" s="43">
        <f>SUM(G9/F9)</f>
        <v>1009.509</v>
      </c>
      <c r="I9" s="43">
        <f>H9*0.25</f>
        <v>252.37725</v>
      </c>
    </row>
    <row r="10" spans="1:11" ht="34.5" customHeight="1" x14ac:dyDescent="0.3">
      <c r="A10" s="39" t="s">
        <v>60</v>
      </c>
      <c r="B10" s="40">
        <v>10</v>
      </c>
      <c r="C10" s="41">
        <v>15000</v>
      </c>
      <c r="D10" s="42">
        <v>0.1</v>
      </c>
      <c r="E10" s="43">
        <f>E11*D10</f>
        <v>5866.8739999999998</v>
      </c>
      <c r="F10" s="40">
        <v>8</v>
      </c>
      <c r="G10" s="43">
        <f>C10-E10</f>
        <v>9133.1260000000002</v>
      </c>
      <c r="H10" s="43">
        <f>SUM(G10/F10)</f>
        <v>1141.64075</v>
      </c>
      <c r="I10" s="43">
        <f>H10*0.25</f>
        <v>285.41018750000001</v>
      </c>
    </row>
    <row r="11" spans="1:11" ht="34.5" customHeight="1" x14ac:dyDescent="0.3">
      <c r="A11" s="39" t="s">
        <v>61</v>
      </c>
      <c r="B11" s="36"/>
      <c r="C11" s="44">
        <f>SUM(C6:C9)</f>
        <v>238000</v>
      </c>
      <c r="D11" s="45">
        <f>SUM(D6:D10)</f>
        <v>1</v>
      </c>
      <c r="E11" s="46">
        <f>41865+13464.74+3339</f>
        <v>58668.74</v>
      </c>
      <c r="F11" s="36"/>
      <c r="G11" s="46">
        <f>C11-E11</f>
        <v>179331.26</v>
      </c>
      <c r="H11" s="46">
        <f>SUM(H6:H10)</f>
        <v>26315.234816666663</v>
      </c>
      <c r="I11" s="43">
        <f>SUM(H11*0.25)</f>
        <v>6578.8087041666658</v>
      </c>
    </row>
    <row r="12" spans="1:11" ht="34.5" customHeight="1" thickBot="1" x14ac:dyDescent="0.35"/>
    <row r="13" spans="1:11" ht="69" customHeight="1" x14ac:dyDescent="0.3">
      <c r="A13" s="115" t="s">
        <v>62</v>
      </c>
      <c r="B13" s="116"/>
      <c r="C13" s="53" t="s">
        <v>66</v>
      </c>
      <c r="D13" s="56" t="s">
        <v>70</v>
      </c>
      <c r="E13" s="119" t="s">
        <v>71</v>
      </c>
      <c r="F13" s="120"/>
      <c r="G13" s="61" t="s">
        <v>74</v>
      </c>
      <c r="K13" s="50">
        <f>I11/4</f>
        <v>1644.7021760416665</v>
      </c>
    </row>
    <row r="14" spans="1:11" ht="34.5" customHeight="1" thickBot="1" x14ac:dyDescent="0.35">
      <c r="A14" s="117"/>
      <c r="B14" s="118"/>
      <c r="C14" s="55">
        <f>'Budget 2021'!L33</f>
        <v>782.58928571428567</v>
      </c>
      <c r="D14" s="57">
        <f>H11/4/28</f>
        <v>234.95745372023808</v>
      </c>
      <c r="E14" s="121">
        <f>C14+D14</f>
        <v>1017.5467394345237</v>
      </c>
      <c r="F14" s="122"/>
      <c r="G14" s="62">
        <f>I11/4/28</f>
        <v>58.73936343005952</v>
      </c>
    </row>
    <row r="15" spans="1:11" ht="34.5" customHeight="1" thickBot="1" x14ac:dyDescent="0.35">
      <c r="D15" s="60"/>
      <c r="E15" s="14"/>
      <c r="F15" s="14"/>
    </row>
    <row r="16" spans="1:11" ht="34.5" customHeight="1" x14ac:dyDescent="0.3">
      <c r="A16" s="97" t="s">
        <v>63</v>
      </c>
      <c r="B16" s="98"/>
      <c r="C16" s="98"/>
      <c r="D16" s="98"/>
      <c r="E16" s="98"/>
      <c r="F16" s="98"/>
      <c r="G16" s="98"/>
      <c r="H16" s="99"/>
    </row>
    <row r="17" spans="1:8" ht="34.5" customHeight="1" thickBot="1" x14ac:dyDescent="0.35">
      <c r="A17" s="100"/>
      <c r="B17" s="101"/>
      <c r="C17" s="101"/>
      <c r="D17" s="101"/>
      <c r="E17" s="101"/>
      <c r="F17" s="101"/>
      <c r="G17" s="101"/>
      <c r="H17" s="102"/>
    </row>
    <row r="21" spans="1:8" x14ac:dyDescent="0.3">
      <c r="G21" s="35">
        <f>41865/28/8</f>
        <v>186.89732142857142</v>
      </c>
    </row>
    <row r="22" spans="1:8" x14ac:dyDescent="0.3">
      <c r="G22" s="35">
        <f>1500/8</f>
        <v>187.5</v>
      </c>
    </row>
  </sheetData>
  <mergeCells count="7">
    <mergeCell ref="I4:I5"/>
    <mergeCell ref="A1:I2"/>
    <mergeCell ref="A3:A4"/>
    <mergeCell ref="A13:B14"/>
    <mergeCell ref="A16:H17"/>
    <mergeCell ref="E13:F13"/>
    <mergeCell ref="E14:F14"/>
  </mergeCells>
  <pageMargins left="0.25" right="0.25" top="0.75" bottom="0.75" header="0.3" footer="0.3"/>
  <pageSetup scale="6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FD149-2AC5-4F74-84C8-C44D7111E4EF}">
  <dimension ref="A1:O51"/>
  <sheetViews>
    <sheetView zoomScale="130" zoomScaleNormal="130" workbookViewId="0">
      <pane xSplit="5" ySplit="2" topLeftCell="F15" activePane="bottomRight" state="frozen"/>
      <selection pane="topRight" activeCell="BJ1" sqref="BJ1"/>
      <selection pane="bottomLeft" activeCell="A3" sqref="A3"/>
      <selection pane="bottomRight" activeCell="I2" sqref="I2"/>
    </sheetView>
  </sheetViews>
  <sheetFormatPr defaultColWidth="8.77734375" defaultRowHeight="14.4" x14ac:dyDescent="0.3"/>
  <cols>
    <col min="1" max="4" width="3" style="1" customWidth="1"/>
    <col min="5" max="5" width="32.44140625" style="1" customWidth="1"/>
    <col min="6" max="6" width="2.21875" customWidth="1"/>
    <col min="7" max="7" width="16.77734375" style="2" bestFit="1" customWidth="1"/>
    <col min="8" max="8" width="24.5546875" style="2" bestFit="1" customWidth="1"/>
    <col min="9" max="9" width="17.77734375" style="15" customWidth="1"/>
    <col min="10" max="10" width="9.44140625" bestFit="1" customWidth="1"/>
    <col min="11" max="11" width="13.44140625" customWidth="1"/>
    <col min="12" max="12" width="10.44140625" bestFit="1" customWidth="1"/>
    <col min="14" max="14" width="11.21875" bestFit="1" customWidth="1"/>
  </cols>
  <sheetData>
    <row r="1" spans="1:15" ht="15" customHeight="1" x14ac:dyDescent="0.3">
      <c r="A1" s="123" t="s">
        <v>77</v>
      </c>
      <c r="B1" s="124"/>
      <c r="C1" s="124"/>
      <c r="D1" s="124"/>
      <c r="E1" s="124"/>
      <c r="F1" s="2"/>
      <c r="G1" s="4" t="s">
        <v>8</v>
      </c>
      <c r="H1" s="4" t="s">
        <v>78</v>
      </c>
      <c r="I1" s="14" t="s">
        <v>85</v>
      </c>
    </row>
    <row r="2" spans="1:15" s="2" customFormat="1" ht="16.2" thickBot="1" x14ac:dyDescent="0.35">
      <c r="A2" s="124"/>
      <c r="B2" s="124"/>
      <c r="C2" s="124"/>
      <c r="D2" s="124"/>
      <c r="E2" s="124"/>
      <c r="F2" s="3"/>
      <c r="G2" s="5">
        <v>2021</v>
      </c>
      <c r="H2" s="5">
        <v>2021</v>
      </c>
      <c r="I2" s="5">
        <v>2022</v>
      </c>
    </row>
    <row r="3" spans="1:15" ht="15.6" x14ac:dyDescent="0.3">
      <c r="A3" s="8"/>
      <c r="B3" s="8" t="s">
        <v>0</v>
      </c>
      <c r="C3" s="8"/>
      <c r="D3" s="8"/>
      <c r="E3" s="8"/>
      <c r="G3" s="20"/>
      <c r="H3" s="20"/>
      <c r="I3" s="31"/>
    </row>
    <row r="4" spans="1:15" ht="15.6" x14ac:dyDescent="0.3">
      <c r="A4" s="8"/>
      <c r="B4" s="8"/>
      <c r="C4" s="8" t="s">
        <v>1</v>
      </c>
      <c r="D4" s="8"/>
      <c r="E4" s="8"/>
      <c r="F4" s="6"/>
      <c r="G4" s="31">
        <v>1400</v>
      </c>
      <c r="H4" s="20">
        <v>150</v>
      </c>
      <c r="I4" s="31">
        <v>150</v>
      </c>
    </row>
    <row r="5" spans="1:15" ht="16.2" thickBot="1" x14ac:dyDescent="0.35">
      <c r="A5" s="8"/>
      <c r="B5" s="8"/>
      <c r="C5" s="8" t="s">
        <v>12</v>
      </c>
      <c r="D5" s="8"/>
      <c r="E5" s="8"/>
      <c r="F5" s="6"/>
      <c r="G5" s="32">
        <f>150*4*13</f>
        <v>7800</v>
      </c>
      <c r="H5" s="20">
        <v>7000</v>
      </c>
      <c r="I5" s="32">
        <f>150*4*13</f>
        <v>7800</v>
      </c>
      <c r="K5" s="33">
        <f>842*4*28</f>
        <v>94304</v>
      </c>
    </row>
    <row r="6" spans="1:15" ht="15.6" x14ac:dyDescent="0.3">
      <c r="A6" s="8"/>
      <c r="B6" s="8"/>
      <c r="C6" s="8" t="s">
        <v>69</v>
      </c>
      <c r="D6" s="8"/>
      <c r="E6" s="8"/>
      <c r="F6" s="6"/>
      <c r="G6" s="32">
        <v>0</v>
      </c>
      <c r="H6" s="20">
        <v>30593</v>
      </c>
      <c r="I6" s="32">
        <v>0</v>
      </c>
      <c r="K6" s="32"/>
    </row>
    <row r="7" spans="1:15" ht="15.6" x14ac:dyDescent="0.3">
      <c r="A7" s="8"/>
      <c r="B7" s="8"/>
      <c r="C7" s="8" t="s">
        <v>13</v>
      </c>
      <c r="D7" s="8"/>
      <c r="E7" s="8"/>
      <c r="F7" s="6"/>
      <c r="G7" s="32">
        <v>2000</v>
      </c>
      <c r="H7" s="20">
        <v>2200</v>
      </c>
      <c r="I7" s="32">
        <v>2000</v>
      </c>
    </row>
    <row r="8" spans="1:15" ht="15.6" x14ac:dyDescent="0.3">
      <c r="A8" s="8"/>
      <c r="B8" s="8"/>
      <c r="C8" s="8" t="s">
        <v>2</v>
      </c>
      <c r="D8" s="8"/>
      <c r="E8" s="8"/>
      <c r="F8" s="6"/>
      <c r="G8" s="32">
        <v>100</v>
      </c>
      <c r="H8" s="20">
        <v>0</v>
      </c>
      <c r="I8" s="32">
        <v>100</v>
      </c>
    </row>
    <row r="9" spans="1:15" ht="15.6" x14ac:dyDescent="0.3">
      <c r="A9" s="8"/>
      <c r="B9" s="8"/>
      <c r="C9" s="8" t="s">
        <v>39</v>
      </c>
      <c r="D9" s="8"/>
      <c r="E9" s="8"/>
      <c r="F9" s="6"/>
      <c r="G9" s="32">
        <v>6608</v>
      </c>
      <c r="H9" s="20">
        <v>0</v>
      </c>
      <c r="I9" s="20">
        <f>59*28*4</f>
        <v>6608</v>
      </c>
      <c r="N9">
        <f>842*28*4</f>
        <v>94304</v>
      </c>
    </row>
    <row r="10" spans="1:15" ht="16.2" thickBot="1" x14ac:dyDescent="0.35">
      <c r="A10" s="8"/>
      <c r="B10" s="8"/>
      <c r="C10" s="8" t="s">
        <v>3</v>
      </c>
      <c r="D10" s="8"/>
      <c r="E10" s="8"/>
      <c r="F10" s="6"/>
      <c r="G10" s="33">
        <v>87650</v>
      </c>
      <c r="H10" s="27">
        <v>96500</v>
      </c>
      <c r="I10" s="33">
        <f>783*28*4</f>
        <v>87696</v>
      </c>
      <c r="K10" s="7"/>
      <c r="M10">
        <v>750</v>
      </c>
      <c r="N10">
        <f>750*4*28</f>
        <v>84000</v>
      </c>
      <c r="O10">
        <f>N10-15466.67</f>
        <v>68533.33</v>
      </c>
    </row>
    <row r="11" spans="1:15" ht="15.6" x14ac:dyDescent="0.3">
      <c r="A11" s="8"/>
      <c r="B11" s="8" t="s">
        <v>4</v>
      </c>
      <c r="C11" s="8"/>
      <c r="D11" s="8"/>
      <c r="E11" s="8"/>
      <c r="F11" s="6"/>
      <c r="G11" s="26">
        <f>SUM(G4:G10)</f>
        <v>105558</v>
      </c>
      <c r="H11" s="28">
        <f>SUM(H4:H10)</f>
        <v>136443</v>
      </c>
      <c r="I11" s="26">
        <f>SUM(I4:I10)</f>
        <v>104354</v>
      </c>
      <c r="K11">
        <f>842*28*4</f>
        <v>94304</v>
      </c>
      <c r="M11">
        <v>800</v>
      </c>
      <c r="N11">
        <f>800*4*28</f>
        <v>89600</v>
      </c>
      <c r="O11">
        <f>N11-15466.67</f>
        <v>74133.33</v>
      </c>
    </row>
    <row r="12" spans="1:15" ht="15.6" x14ac:dyDescent="0.3">
      <c r="A12" s="8"/>
      <c r="B12" s="8" t="s">
        <v>5</v>
      </c>
      <c r="C12" s="8"/>
      <c r="D12" s="8"/>
      <c r="E12" s="8"/>
      <c r="F12" s="6"/>
      <c r="G12" s="20"/>
      <c r="H12" s="20"/>
      <c r="I12" s="20"/>
      <c r="K12" s="52">
        <f>K11-H9</f>
        <v>94304</v>
      </c>
    </row>
    <row r="13" spans="1:15" ht="15.6" x14ac:dyDescent="0.3">
      <c r="A13" s="8"/>
      <c r="B13" s="8"/>
      <c r="C13" s="8" t="s">
        <v>14</v>
      </c>
      <c r="D13" s="8"/>
      <c r="E13" s="8"/>
      <c r="F13" s="6"/>
      <c r="G13" s="32">
        <v>2200</v>
      </c>
      <c r="H13" s="20">
        <v>1200</v>
      </c>
      <c r="I13" s="32">
        <v>2200</v>
      </c>
    </row>
    <row r="14" spans="1:15" ht="15.6" x14ac:dyDescent="0.3">
      <c r="A14" s="8"/>
      <c r="B14" s="8"/>
      <c r="C14" s="8" t="s">
        <v>15</v>
      </c>
      <c r="D14" s="8"/>
      <c r="E14" s="8"/>
      <c r="F14" s="6"/>
      <c r="G14" s="32">
        <v>2000</v>
      </c>
      <c r="H14" s="20">
        <v>14000</v>
      </c>
      <c r="I14" s="32">
        <v>14000</v>
      </c>
      <c r="K14" s="52"/>
    </row>
    <row r="15" spans="1:15" ht="15.6" x14ac:dyDescent="0.3">
      <c r="A15" s="8"/>
      <c r="B15" s="8"/>
      <c r="C15" s="8" t="s">
        <v>16</v>
      </c>
      <c r="D15" s="49"/>
      <c r="E15" s="49"/>
      <c r="F15" s="6"/>
      <c r="G15" s="32">
        <v>4100</v>
      </c>
      <c r="H15" s="20">
        <v>1000</v>
      </c>
      <c r="I15" s="32">
        <v>4100</v>
      </c>
    </row>
    <row r="16" spans="1:15" ht="15.6" x14ac:dyDescent="0.3">
      <c r="A16" s="8"/>
      <c r="B16" s="8"/>
      <c r="C16" s="8" t="s">
        <v>17</v>
      </c>
      <c r="D16" s="8"/>
      <c r="E16" s="8"/>
      <c r="F16" s="6"/>
      <c r="G16" s="32">
        <v>650</v>
      </c>
      <c r="H16" s="20">
        <v>800</v>
      </c>
      <c r="I16" s="32">
        <v>1000</v>
      </c>
      <c r="K16" s="52"/>
      <c r="M16" s="52"/>
    </row>
    <row r="17" spans="1:12" ht="15.6" x14ac:dyDescent="0.3">
      <c r="A17" s="8"/>
      <c r="B17" s="8"/>
      <c r="C17" s="8" t="s">
        <v>18</v>
      </c>
      <c r="D17" s="8"/>
      <c r="E17" s="8"/>
      <c r="F17" s="6"/>
      <c r="G17" s="32">
        <v>1200</v>
      </c>
      <c r="H17" s="20">
        <f>275*4</f>
        <v>1100</v>
      </c>
      <c r="I17" s="32">
        <v>1200</v>
      </c>
      <c r="L17">
        <v>41865</v>
      </c>
    </row>
    <row r="18" spans="1:12" ht="15.6" x14ac:dyDescent="0.3">
      <c r="A18" s="8"/>
      <c r="B18" s="8"/>
      <c r="C18" s="8" t="s">
        <v>19</v>
      </c>
      <c r="D18" s="8"/>
      <c r="E18" s="8"/>
      <c r="F18" s="24"/>
      <c r="G18" s="32">
        <v>32000</v>
      </c>
      <c r="H18" s="20">
        <v>40000</v>
      </c>
      <c r="I18" s="32">
        <v>37146</v>
      </c>
    </row>
    <row r="19" spans="1:12" ht="15.6" x14ac:dyDescent="0.3">
      <c r="A19" s="8"/>
      <c r="B19" s="8"/>
      <c r="C19" s="8" t="s">
        <v>20</v>
      </c>
      <c r="D19" s="8"/>
      <c r="E19" s="8"/>
      <c r="F19" s="6"/>
      <c r="G19" s="32">
        <v>6500</v>
      </c>
      <c r="H19" s="20">
        <v>9000</v>
      </c>
      <c r="I19" s="32">
        <v>9000</v>
      </c>
      <c r="J19" s="58"/>
      <c r="K19" s="59"/>
      <c r="L19" s="58"/>
    </row>
    <row r="20" spans="1:12" ht="15.6" x14ac:dyDescent="0.3">
      <c r="A20" s="8"/>
      <c r="B20" s="8"/>
      <c r="C20" s="8" t="s">
        <v>72</v>
      </c>
      <c r="D20" s="8"/>
      <c r="E20" s="8"/>
      <c r="F20" s="6"/>
      <c r="G20" s="32">
        <v>0</v>
      </c>
      <c r="H20" s="20">
        <v>0</v>
      </c>
      <c r="I20" s="32">
        <v>0</v>
      </c>
      <c r="J20" s="58"/>
      <c r="K20" s="58"/>
      <c r="L20" s="58"/>
    </row>
    <row r="21" spans="1:12" ht="15.6" x14ac:dyDescent="0.3">
      <c r="A21" s="8"/>
      <c r="B21" s="8"/>
      <c r="C21" s="8" t="s">
        <v>22</v>
      </c>
      <c r="D21" s="8"/>
      <c r="E21" s="8"/>
      <c r="F21" s="6"/>
      <c r="G21" s="32">
        <v>2600</v>
      </c>
      <c r="H21" s="20">
        <v>2600</v>
      </c>
      <c r="I21" s="32">
        <v>2600</v>
      </c>
      <c r="L21" s="52"/>
    </row>
    <row r="22" spans="1:12" ht="21.6" customHeight="1" x14ac:dyDescent="0.3">
      <c r="A22" s="8"/>
      <c r="B22" s="8"/>
      <c r="C22" s="8" t="s">
        <v>23</v>
      </c>
      <c r="D22" s="8"/>
      <c r="E22" s="8"/>
      <c r="F22" s="6"/>
      <c r="G22" s="32">
        <v>1500</v>
      </c>
      <c r="H22" s="20">
        <v>200</v>
      </c>
      <c r="I22" s="32">
        <v>1500</v>
      </c>
    </row>
    <row r="23" spans="1:12" ht="15.6" x14ac:dyDescent="0.3">
      <c r="A23" s="8"/>
      <c r="B23" s="8"/>
      <c r="C23" s="8" t="s">
        <v>24</v>
      </c>
      <c r="D23" s="8"/>
      <c r="E23" s="8"/>
      <c r="F23" s="6"/>
      <c r="G23" s="32">
        <v>100</v>
      </c>
      <c r="H23" s="20">
        <v>0</v>
      </c>
      <c r="I23" s="32">
        <v>100</v>
      </c>
    </row>
    <row r="24" spans="1:12" ht="15.6" x14ac:dyDescent="0.3">
      <c r="A24" s="8"/>
      <c r="B24" s="8"/>
      <c r="C24" s="8" t="s">
        <v>25</v>
      </c>
      <c r="D24" s="8"/>
      <c r="E24" s="8"/>
      <c r="F24" s="6"/>
      <c r="G24" s="32">
        <v>3000</v>
      </c>
      <c r="H24" s="20">
        <v>0</v>
      </c>
      <c r="I24" s="32">
        <v>3000</v>
      </c>
    </row>
    <row r="25" spans="1:12" ht="15.6" x14ac:dyDescent="0.3">
      <c r="A25" s="8"/>
      <c r="B25" s="8"/>
      <c r="C25" s="8" t="s">
        <v>38</v>
      </c>
      <c r="D25" s="8"/>
      <c r="E25" s="8"/>
      <c r="F25" s="6"/>
      <c r="G25" s="32">
        <v>5000</v>
      </c>
      <c r="H25" s="20">
        <v>5000</v>
      </c>
      <c r="I25" s="32">
        <v>5000</v>
      </c>
    </row>
    <row r="26" spans="1:12" ht="15.6" x14ac:dyDescent="0.3">
      <c r="A26" s="8"/>
      <c r="B26" s="8"/>
      <c r="C26" s="8" t="s">
        <v>26</v>
      </c>
      <c r="D26" s="8"/>
      <c r="E26" s="8"/>
      <c r="F26" s="6"/>
      <c r="G26" s="32">
        <v>5000</v>
      </c>
      <c r="H26" s="20">
        <v>5000</v>
      </c>
      <c r="I26" s="32">
        <v>5000</v>
      </c>
    </row>
    <row r="27" spans="1:12" ht="15.6" x14ac:dyDescent="0.3">
      <c r="A27" s="8"/>
      <c r="B27" s="8"/>
      <c r="C27" s="8" t="s">
        <v>28</v>
      </c>
      <c r="D27" s="8"/>
      <c r="E27" s="8"/>
      <c r="F27" s="6"/>
      <c r="G27" s="32">
        <v>1800</v>
      </c>
      <c r="H27" s="20">
        <v>1800</v>
      </c>
      <c r="I27" s="32">
        <v>1800</v>
      </c>
    </row>
    <row r="28" spans="1:12" ht="22.5" customHeight="1" x14ac:dyDescent="0.3">
      <c r="A28" s="8"/>
      <c r="B28" s="8"/>
      <c r="C28" s="8" t="s">
        <v>29</v>
      </c>
      <c r="D28" s="8"/>
      <c r="E28" s="8"/>
      <c r="F28" s="6"/>
      <c r="G28" s="32">
        <v>5000</v>
      </c>
      <c r="H28" s="20">
        <v>1500</v>
      </c>
      <c r="I28" s="32">
        <v>1500</v>
      </c>
    </row>
    <row r="29" spans="1:12" ht="15.6" x14ac:dyDescent="0.3">
      <c r="A29" s="8"/>
      <c r="B29" s="8"/>
      <c r="C29" s="8" t="s">
        <v>6</v>
      </c>
      <c r="D29" s="8"/>
      <c r="E29" s="8"/>
      <c r="F29" s="6"/>
      <c r="G29" s="32">
        <v>250</v>
      </c>
      <c r="H29" s="20">
        <v>250</v>
      </c>
      <c r="I29" s="32">
        <v>250</v>
      </c>
    </row>
    <row r="30" spans="1:12" ht="15.6" x14ac:dyDescent="0.3">
      <c r="A30" s="8"/>
      <c r="B30" s="8"/>
      <c r="C30" s="8" t="s">
        <v>31</v>
      </c>
      <c r="D30" s="8"/>
      <c r="E30" s="8"/>
      <c r="F30" s="6"/>
      <c r="G30" s="32">
        <v>250</v>
      </c>
      <c r="H30" s="20">
        <v>510</v>
      </c>
      <c r="I30" s="32">
        <v>550</v>
      </c>
    </row>
    <row r="31" spans="1:12" ht="15.6" x14ac:dyDescent="0.3">
      <c r="A31" s="8"/>
      <c r="B31" s="8"/>
      <c r="C31" s="8" t="s">
        <v>34</v>
      </c>
      <c r="D31" s="8"/>
      <c r="E31" s="8"/>
      <c r="F31" s="6"/>
      <c r="G31" s="32">
        <v>600</v>
      </c>
      <c r="H31" s="20">
        <v>600</v>
      </c>
      <c r="I31" s="32">
        <v>600</v>
      </c>
    </row>
    <row r="32" spans="1:12" ht="15.6" x14ac:dyDescent="0.3">
      <c r="A32" s="8"/>
      <c r="B32" s="8"/>
      <c r="C32" s="8" t="s">
        <v>36</v>
      </c>
      <c r="D32" s="8"/>
      <c r="E32" s="8"/>
      <c r="F32" s="6"/>
      <c r="G32" s="32">
        <f>350*12</f>
        <v>4200</v>
      </c>
      <c r="H32" s="20">
        <f>350*12</f>
        <v>4200</v>
      </c>
      <c r="I32" s="32">
        <f>350*12</f>
        <v>4200</v>
      </c>
    </row>
    <row r="33" spans="1:14" ht="16.2" thickBot="1" x14ac:dyDescent="0.35">
      <c r="A33" s="8"/>
      <c r="C33" s="8" t="s">
        <v>37</v>
      </c>
      <c r="D33" s="8"/>
      <c r="E33" s="8"/>
      <c r="F33" s="6"/>
      <c r="G33" s="33">
        <v>3000</v>
      </c>
      <c r="H33" s="27">
        <v>0</v>
      </c>
      <c r="I33" s="33">
        <v>3000</v>
      </c>
      <c r="L33" s="52">
        <f>I10/28/4</f>
        <v>783</v>
      </c>
    </row>
    <row r="34" spans="1:14" s="1" customFormat="1" ht="15.6" x14ac:dyDescent="0.3">
      <c r="A34" s="9"/>
      <c r="B34" s="8" t="s">
        <v>7</v>
      </c>
      <c r="C34" s="8"/>
      <c r="D34" s="8"/>
      <c r="E34" s="8"/>
      <c r="F34" s="17"/>
      <c r="G34" s="25">
        <f>SUM(G13:G33)</f>
        <v>80950</v>
      </c>
      <c r="H34" s="29">
        <f>SUM(H13:H33)</f>
        <v>88760</v>
      </c>
      <c r="I34" s="25">
        <f>SUM(I13:I33)</f>
        <v>97746</v>
      </c>
    </row>
    <row r="35" spans="1:14" ht="15" customHeight="1" x14ac:dyDescent="0.3">
      <c r="A35" s="10"/>
      <c r="B35" s="10"/>
      <c r="C35" s="9"/>
      <c r="D35" s="9"/>
      <c r="E35" s="9"/>
      <c r="F35" s="18"/>
      <c r="G35" s="34"/>
      <c r="H35" s="34"/>
      <c r="I35" s="34"/>
    </row>
    <row r="36" spans="1:14" ht="37.5" customHeight="1" thickBot="1" x14ac:dyDescent="0.35">
      <c r="A36" s="10"/>
      <c r="B36" s="10"/>
      <c r="C36" s="89" t="s">
        <v>39</v>
      </c>
      <c r="D36" s="89"/>
      <c r="E36" s="89"/>
      <c r="F36" s="18"/>
      <c r="G36" s="30">
        <v>6608</v>
      </c>
      <c r="H36" s="30">
        <v>6608</v>
      </c>
      <c r="I36" s="27">
        <v>6608</v>
      </c>
      <c r="L36">
        <f>783+59</f>
        <v>842</v>
      </c>
    </row>
    <row r="37" spans="1:14" ht="15.6" x14ac:dyDescent="0.3">
      <c r="C37" s="89" t="s">
        <v>40</v>
      </c>
      <c r="D37" s="89"/>
      <c r="E37" s="89"/>
      <c r="F37" s="6"/>
      <c r="G37" s="11">
        <f>SUM(G34+G36)</f>
        <v>87558</v>
      </c>
      <c r="H37" s="28">
        <f>SUM(H36+H34)</f>
        <v>95368</v>
      </c>
      <c r="I37" s="11">
        <f>SUM(I34+I36)</f>
        <v>104354</v>
      </c>
    </row>
    <row r="38" spans="1:14" ht="16.2" thickBot="1" x14ac:dyDescent="0.35">
      <c r="F38" s="6"/>
      <c r="G38" s="6"/>
      <c r="H38" s="6"/>
      <c r="I38" s="21"/>
    </row>
    <row r="39" spans="1:14" ht="15.6" customHeight="1" x14ac:dyDescent="0.3">
      <c r="C39" s="107" t="s">
        <v>75</v>
      </c>
      <c r="D39" s="108"/>
      <c r="E39" s="108"/>
      <c r="F39" s="108"/>
      <c r="G39" s="108"/>
      <c r="H39" s="108"/>
      <c r="I39" s="109"/>
      <c r="J39" s="58"/>
      <c r="K39" s="58"/>
      <c r="L39" s="58"/>
      <c r="M39" s="58"/>
      <c r="N39" s="59"/>
    </row>
    <row r="40" spans="1:14" ht="16.2" thickBot="1" x14ac:dyDescent="0.35">
      <c r="A40" s="12"/>
      <c r="B40" s="12"/>
      <c r="C40" s="110"/>
      <c r="D40" s="111"/>
      <c r="E40" s="111"/>
      <c r="F40" s="111"/>
      <c r="G40" s="111"/>
      <c r="H40" s="111"/>
      <c r="I40" s="112"/>
    </row>
    <row r="41" spans="1:14" ht="15.6" x14ac:dyDescent="0.3">
      <c r="A41" s="13"/>
      <c r="B41" s="13"/>
      <c r="C41" s="12"/>
      <c r="D41" s="12"/>
      <c r="E41" s="12"/>
      <c r="F41" s="91"/>
      <c r="G41" s="91"/>
      <c r="H41" s="6"/>
      <c r="I41" s="22"/>
    </row>
    <row r="42" spans="1:14" ht="15.6" x14ac:dyDescent="0.3">
      <c r="A42" s="13"/>
      <c r="B42" s="13"/>
      <c r="C42" s="13"/>
      <c r="D42" s="13"/>
      <c r="E42" s="90"/>
      <c r="F42" s="91"/>
      <c r="G42" s="91"/>
      <c r="H42" s="19"/>
      <c r="I42" s="22"/>
    </row>
    <row r="43" spans="1:14" ht="15.6" x14ac:dyDescent="0.3">
      <c r="A43" s="13"/>
      <c r="B43" s="13"/>
      <c r="C43" s="13"/>
      <c r="D43" s="13"/>
      <c r="E43" s="90"/>
      <c r="F43" s="91"/>
      <c r="G43" s="91"/>
      <c r="H43" s="6"/>
      <c r="I43" s="23"/>
    </row>
    <row r="44" spans="1:14" ht="15.6" x14ac:dyDescent="0.3">
      <c r="A44" s="13"/>
      <c r="B44" s="13"/>
      <c r="C44" s="13"/>
      <c r="D44" s="13"/>
      <c r="E44" s="90"/>
      <c r="F44" s="91"/>
      <c r="G44" s="91"/>
      <c r="H44" s="19"/>
      <c r="I44" s="23"/>
    </row>
    <row r="45" spans="1:14" ht="15.6" x14ac:dyDescent="0.3">
      <c r="A45" s="13"/>
      <c r="B45" s="13"/>
      <c r="C45" s="13"/>
      <c r="D45" s="13"/>
      <c r="E45" s="90"/>
      <c r="F45" s="91"/>
      <c r="G45" s="91"/>
      <c r="H45" s="6"/>
      <c r="I45" s="23"/>
    </row>
    <row r="46" spans="1:14" ht="15.6" x14ac:dyDescent="0.3">
      <c r="A46" s="13"/>
      <c r="B46" s="13"/>
      <c r="C46" s="13"/>
      <c r="D46" s="13"/>
      <c r="E46" s="90"/>
      <c r="F46" s="91"/>
      <c r="G46" s="91"/>
      <c r="H46" s="20"/>
      <c r="I46" s="23"/>
    </row>
    <row r="47" spans="1:14" x14ac:dyDescent="0.3">
      <c r="A47" s="13"/>
      <c r="B47" s="13"/>
      <c r="C47" s="13"/>
      <c r="D47" s="13"/>
      <c r="E47" s="90"/>
      <c r="F47" s="92"/>
      <c r="G47" s="92"/>
    </row>
    <row r="48" spans="1:14" x14ac:dyDescent="0.3">
      <c r="A48" s="13"/>
      <c r="B48" s="13"/>
      <c r="C48" s="13"/>
      <c r="D48" s="13"/>
      <c r="E48" s="90"/>
      <c r="F48" s="92"/>
      <c r="G48" s="92"/>
      <c r="H48" s="16"/>
    </row>
    <row r="49" spans="1:8" x14ac:dyDescent="0.3">
      <c r="A49" s="13"/>
      <c r="B49" s="13"/>
      <c r="C49" s="13"/>
      <c r="D49" s="13"/>
      <c r="E49" s="90"/>
      <c r="F49" s="92"/>
      <c r="G49" s="92"/>
    </row>
    <row r="50" spans="1:8" x14ac:dyDescent="0.3">
      <c r="A50" s="13"/>
      <c r="B50" s="13"/>
      <c r="C50" s="13"/>
      <c r="D50" s="13"/>
      <c r="E50" s="90"/>
      <c r="F50" s="92"/>
      <c r="G50" s="92"/>
      <c r="H50" s="16"/>
    </row>
    <row r="51" spans="1:8" x14ac:dyDescent="0.3">
      <c r="C51" s="13"/>
      <c r="D51" s="13"/>
      <c r="E51" s="90"/>
    </row>
  </sheetData>
  <mergeCells count="14">
    <mergeCell ref="F47:G48"/>
    <mergeCell ref="E48:E49"/>
    <mergeCell ref="F49:G50"/>
    <mergeCell ref="E50:E51"/>
    <mergeCell ref="A1:E2"/>
    <mergeCell ref="C36:E36"/>
    <mergeCell ref="C37:E37"/>
    <mergeCell ref="C39:I40"/>
    <mergeCell ref="F41:G42"/>
    <mergeCell ref="E42:E43"/>
    <mergeCell ref="F43:G44"/>
    <mergeCell ref="E44:E45"/>
    <mergeCell ref="F45:G46"/>
    <mergeCell ref="E46:E47"/>
  </mergeCells>
  <printOptions horizontalCentered="1" verticalCentered="1"/>
  <pageMargins left="0.45" right="0.45" top="0.75" bottom="0.75" header="0.3" footer="0.3"/>
  <pageSetup scale="71" orientation="portrait" r:id="rId1"/>
  <headerFooter>
    <oddHeader>&amp;CVilla Rio Condominium Association, Inc.
Budget for 2020
January 1, 2020 to December 31, 2020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AC88BD-91FD-4152-87A0-AA5C1BC07EED}">
  <dimension ref="A1:K22"/>
  <sheetViews>
    <sheetView view="pageBreakPreview" topLeftCell="A4" zoomScaleNormal="100" zoomScaleSheetLayoutView="100" workbookViewId="0">
      <selection activeCell="D12" sqref="D12"/>
    </sheetView>
  </sheetViews>
  <sheetFormatPr defaultColWidth="9.21875" defaultRowHeight="15.6" x14ac:dyDescent="0.3"/>
  <cols>
    <col min="1" max="1" width="34.5546875" style="35" customWidth="1"/>
    <col min="2" max="2" width="12.44140625" style="35" customWidth="1"/>
    <col min="3" max="3" width="18.21875" style="35" bestFit="1" customWidth="1"/>
    <col min="4" max="4" width="19" style="35" bestFit="1" customWidth="1"/>
    <col min="5" max="5" width="15.44140625" style="35" bestFit="1" customWidth="1"/>
    <col min="6" max="6" width="22.44140625" style="35" customWidth="1"/>
    <col min="7" max="7" width="22.77734375" style="35" bestFit="1" customWidth="1"/>
    <col min="8" max="8" width="18.5546875" style="35" customWidth="1"/>
    <col min="9" max="9" width="16.77734375" style="35" customWidth="1"/>
    <col min="10" max="10" width="20.44140625" style="35" customWidth="1"/>
    <col min="11" max="11" width="10.77734375" style="35" bestFit="1" customWidth="1"/>
    <col min="12" max="16384" width="9.21875" style="35"/>
  </cols>
  <sheetData>
    <row r="1" spans="1:11" x14ac:dyDescent="0.3">
      <c r="A1" s="93" t="s">
        <v>80</v>
      </c>
      <c r="B1" s="93"/>
      <c r="C1" s="93"/>
      <c r="D1" s="93"/>
      <c r="E1" s="93"/>
      <c r="F1" s="93"/>
      <c r="G1" s="93"/>
      <c r="H1" s="93"/>
      <c r="I1" s="93"/>
    </row>
    <row r="2" spans="1:11" x14ac:dyDescent="0.3">
      <c r="A2" s="94"/>
      <c r="B2" s="94"/>
      <c r="C2" s="94"/>
      <c r="D2" s="94"/>
      <c r="E2" s="94"/>
      <c r="F2" s="94"/>
      <c r="G2" s="94"/>
      <c r="H2" s="94"/>
      <c r="I2" s="94"/>
    </row>
    <row r="3" spans="1:11" ht="34.5" customHeight="1" x14ac:dyDescent="0.3">
      <c r="A3" s="95" t="s">
        <v>42</v>
      </c>
      <c r="B3" s="36" t="s">
        <v>43</v>
      </c>
      <c r="C3" s="36" t="s">
        <v>43</v>
      </c>
      <c r="D3" s="36" t="s">
        <v>44</v>
      </c>
      <c r="E3" s="36" t="s">
        <v>45</v>
      </c>
      <c r="F3" s="36" t="s">
        <v>46</v>
      </c>
      <c r="G3" s="36" t="s">
        <v>47</v>
      </c>
      <c r="H3" s="54" t="s">
        <v>48</v>
      </c>
      <c r="I3" s="63"/>
    </row>
    <row r="4" spans="1:11" ht="34.5" customHeight="1" x14ac:dyDescent="0.3">
      <c r="A4" s="96"/>
      <c r="B4" s="36" t="s">
        <v>49</v>
      </c>
      <c r="C4" s="36" t="s">
        <v>50</v>
      </c>
      <c r="D4" s="36" t="s">
        <v>51</v>
      </c>
      <c r="E4" s="36" t="s">
        <v>39</v>
      </c>
      <c r="F4" s="36" t="s">
        <v>52</v>
      </c>
      <c r="G4" s="36" t="s">
        <v>48</v>
      </c>
      <c r="H4" s="36" t="s">
        <v>81</v>
      </c>
      <c r="I4" s="113" t="s">
        <v>84</v>
      </c>
    </row>
    <row r="5" spans="1:11" ht="34.5" customHeight="1" x14ac:dyDescent="0.3">
      <c r="A5" s="36"/>
      <c r="B5" s="37"/>
      <c r="C5" s="37"/>
      <c r="D5" s="37" t="s">
        <v>53</v>
      </c>
      <c r="E5" s="38">
        <v>44561</v>
      </c>
      <c r="F5" s="37" t="s">
        <v>54</v>
      </c>
      <c r="G5" s="37" t="s">
        <v>55</v>
      </c>
      <c r="H5" s="37" t="s">
        <v>56</v>
      </c>
      <c r="I5" s="114"/>
    </row>
    <row r="6" spans="1:11" ht="34.5" customHeight="1" x14ac:dyDescent="0.3">
      <c r="A6" s="39" t="s">
        <v>57</v>
      </c>
      <c r="B6" s="40">
        <v>7</v>
      </c>
      <c r="C6" s="41">
        <v>18000</v>
      </c>
      <c r="D6" s="42">
        <v>0.2</v>
      </c>
      <c r="E6" s="43">
        <f>E11*D6</f>
        <v>11055.348</v>
      </c>
      <c r="F6" s="40">
        <v>1</v>
      </c>
      <c r="G6" s="43">
        <f>C6-E6</f>
        <v>6944.652</v>
      </c>
      <c r="H6" s="43">
        <f>SUM(G6/F6)</f>
        <v>6944.652</v>
      </c>
      <c r="I6" s="43">
        <f>H6*0.3</f>
        <v>2083.3955999999998</v>
      </c>
    </row>
    <row r="7" spans="1:11" ht="34.5" customHeight="1" x14ac:dyDescent="0.3">
      <c r="A7" s="39" t="s">
        <v>58</v>
      </c>
      <c r="B7" s="40">
        <v>20</v>
      </c>
      <c r="C7" s="41">
        <v>120000</v>
      </c>
      <c r="D7" s="42">
        <v>0.4</v>
      </c>
      <c r="E7" s="43">
        <f>E11*D7</f>
        <v>22110.696</v>
      </c>
      <c r="F7" s="40">
        <v>9</v>
      </c>
      <c r="G7" s="43">
        <f t="shared" ref="G7:G9" si="0">C7-E7</f>
        <v>97889.304000000004</v>
      </c>
      <c r="H7" s="43">
        <f>SUM(G7/F7)</f>
        <v>10876.589333333333</v>
      </c>
      <c r="I7" s="43">
        <f>H7*0.3</f>
        <v>3262.9767999999999</v>
      </c>
    </row>
    <row r="8" spans="1:11" ht="34.5" customHeight="1" x14ac:dyDescent="0.3">
      <c r="A8" s="39" t="s">
        <v>73</v>
      </c>
      <c r="B8" s="40">
        <v>20</v>
      </c>
      <c r="C8" s="41">
        <v>80000</v>
      </c>
      <c r="D8" s="42">
        <v>0.2</v>
      </c>
      <c r="E8" s="43">
        <f>E11*D8</f>
        <v>11055.348</v>
      </c>
      <c r="F8" s="40">
        <v>5</v>
      </c>
      <c r="G8" s="43">
        <f>C8-E8</f>
        <v>68944.652000000002</v>
      </c>
      <c r="H8" s="43">
        <f>G8/F8</f>
        <v>13788.930400000001</v>
      </c>
      <c r="I8" s="43">
        <f>H8*0.3</f>
        <v>4136.6791199999998</v>
      </c>
    </row>
    <row r="9" spans="1:11" ht="34.5" customHeight="1" x14ac:dyDescent="0.3">
      <c r="A9" s="39" t="s">
        <v>59</v>
      </c>
      <c r="B9" s="40">
        <v>15</v>
      </c>
      <c r="C9" s="41">
        <v>20000</v>
      </c>
      <c r="D9" s="42">
        <v>0.1</v>
      </c>
      <c r="E9" s="43">
        <f>E11*D9</f>
        <v>5527.674</v>
      </c>
      <c r="F9" s="40">
        <v>13</v>
      </c>
      <c r="G9" s="43">
        <f t="shared" si="0"/>
        <v>14472.326000000001</v>
      </c>
      <c r="H9" s="43">
        <f>SUM(G9/F9)</f>
        <v>1113.2558461538463</v>
      </c>
      <c r="I9" s="43">
        <f>H9*0.3</f>
        <v>333.97675384615388</v>
      </c>
    </row>
    <row r="10" spans="1:11" ht="34.5" customHeight="1" x14ac:dyDescent="0.3">
      <c r="A10" s="39" t="s">
        <v>60</v>
      </c>
      <c r="B10" s="40">
        <v>10</v>
      </c>
      <c r="C10" s="41">
        <v>15000</v>
      </c>
      <c r="D10" s="42">
        <v>0.1</v>
      </c>
      <c r="E10" s="43">
        <f>E11*D10</f>
        <v>5527.674</v>
      </c>
      <c r="F10" s="40">
        <v>7</v>
      </c>
      <c r="G10" s="43">
        <f>C10-E10</f>
        <v>9472.3260000000009</v>
      </c>
      <c r="H10" s="43">
        <f>SUM(G10/F10)</f>
        <v>1353.1894285714286</v>
      </c>
      <c r="I10" s="43">
        <f>H10*0.3</f>
        <v>405.95682857142856</v>
      </c>
    </row>
    <row r="11" spans="1:11" ht="34.5" customHeight="1" x14ac:dyDescent="0.3">
      <c r="A11" s="39" t="s">
        <v>61</v>
      </c>
      <c r="B11" s="36"/>
      <c r="C11" s="44">
        <f>SUM(C6:C9)</f>
        <v>238000</v>
      </c>
      <c r="D11" s="45">
        <f>SUM(D6:D10)</f>
        <v>1</v>
      </c>
      <c r="E11" s="46">
        <f>31865+13464.74+3339+6608</f>
        <v>55276.74</v>
      </c>
      <c r="F11" s="36"/>
      <c r="G11" s="46">
        <f>C11-E11</f>
        <v>182723.26</v>
      </c>
      <c r="H11" s="46">
        <f>SUM(H6:H10)</f>
        <v>34076.617008058609</v>
      </c>
      <c r="I11" s="43">
        <f>SUM(H11*0.3)</f>
        <v>10222.985102417582</v>
      </c>
      <c r="J11" s="50">
        <f>I11/4</f>
        <v>2555.7462756043956</v>
      </c>
    </row>
    <row r="12" spans="1:11" ht="34.5" customHeight="1" thickBot="1" x14ac:dyDescent="0.35">
      <c r="K12" s="35">
        <f>842-783</f>
        <v>59</v>
      </c>
    </row>
    <row r="13" spans="1:11" ht="69" customHeight="1" x14ac:dyDescent="0.3">
      <c r="A13" s="115" t="s">
        <v>62</v>
      </c>
      <c r="B13" s="116"/>
      <c r="C13" s="53" t="s">
        <v>79</v>
      </c>
      <c r="D13" s="56" t="s">
        <v>70</v>
      </c>
      <c r="E13" s="119" t="s">
        <v>71</v>
      </c>
      <c r="F13" s="120"/>
      <c r="G13" s="66" t="s">
        <v>83</v>
      </c>
      <c r="H13" s="127" t="s">
        <v>82</v>
      </c>
      <c r="I13" s="128"/>
      <c r="K13" s="50">
        <f>I11/4</f>
        <v>2555.7462756043956</v>
      </c>
    </row>
    <row r="14" spans="1:11" ht="34.5" customHeight="1" thickBot="1" x14ac:dyDescent="0.35">
      <c r="A14" s="117"/>
      <c r="B14" s="118"/>
      <c r="C14" s="64">
        <f>'Budget 2021'!L33</f>
        <v>782.58928571428567</v>
      </c>
      <c r="D14" s="65">
        <f>H11/4/28</f>
        <v>304.25550900052332</v>
      </c>
      <c r="E14" s="125">
        <f>C14+D14</f>
        <v>1086.844794714809</v>
      </c>
      <c r="F14" s="126"/>
      <c r="G14" s="67">
        <f>SUM(I11/28/4)</f>
        <v>91.276652700156987</v>
      </c>
      <c r="H14" s="129">
        <f>G14+C14</f>
        <v>873.86593841444267</v>
      </c>
      <c r="I14" s="130"/>
    </row>
    <row r="15" spans="1:11" ht="34.5" customHeight="1" thickBot="1" x14ac:dyDescent="0.35">
      <c r="D15" s="60"/>
      <c r="E15" s="14"/>
      <c r="F15" s="14"/>
    </row>
    <row r="16" spans="1:11" ht="34.5" customHeight="1" x14ac:dyDescent="0.3">
      <c r="A16" s="97" t="s">
        <v>63</v>
      </c>
      <c r="B16" s="98"/>
      <c r="C16" s="98"/>
      <c r="D16" s="98"/>
      <c r="E16" s="98"/>
      <c r="F16" s="98"/>
      <c r="G16" s="98"/>
      <c r="H16" s="99"/>
    </row>
    <row r="17" spans="1:8" ht="34.5" customHeight="1" thickBot="1" x14ac:dyDescent="0.35">
      <c r="A17" s="100"/>
      <c r="B17" s="101"/>
      <c r="C17" s="101"/>
      <c r="D17" s="101"/>
      <c r="E17" s="101"/>
      <c r="F17" s="101"/>
      <c r="G17" s="101"/>
      <c r="H17" s="102"/>
    </row>
    <row r="21" spans="1:8" x14ac:dyDescent="0.3">
      <c r="G21" s="35">
        <f>41865/28/8</f>
        <v>186.89732142857142</v>
      </c>
    </row>
    <row r="22" spans="1:8" x14ac:dyDescent="0.3">
      <c r="G22" s="35">
        <f>1500/8</f>
        <v>187.5</v>
      </c>
    </row>
  </sheetData>
  <mergeCells count="9">
    <mergeCell ref="A16:H17"/>
    <mergeCell ref="A1:I2"/>
    <mergeCell ref="A3:A4"/>
    <mergeCell ref="I4:I5"/>
    <mergeCell ref="A13:B14"/>
    <mergeCell ref="E13:F13"/>
    <mergeCell ref="E14:F14"/>
    <mergeCell ref="H13:I13"/>
    <mergeCell ref="H14:I14"/>
  </mergeCells>
  <pageMargins left="0.25" right="0.25" top="0.75" bottom="0.75" header="0.3" footer="0.3"/>
  <pageSetup scale="6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33006-F433-42B4-8669-0095D4CA8195}">
  <sheetPr>
    <tabColor rgb="FFFFFF00"/>
  </sheetPr>
  <dimension ref="A1:O50"/>
  <sheetViews>
    <sheetView zoomScale="87" zoomScaleNormal="87" workbookViewId="0">
      <pane xSplit="5" ySplit="2" topLeftCell="F15" activePane="bottomRight" state="frozen"/>
      <selection pane="topRight" activeCell="BJ1" sqref="BJ1"/>
      <selection pane="bottomLeft" activeCell="A3" sqref="A3"/>
      <selection pane="bottomRight" activeCell="J17" sqref="J17"/>
    </sheetView>
  </sheetViews>
  <sheetFormatPr defaultColWidth="8.77734375" defaultRowHeight="14.4" x14ac:dyDescent="0.3"/>
  <cols>
    <col min="1" max="4" width="3" style="1" customWidth="1"/>
    <col min="5" max="5" width="32.44140625" style="1" customWidth="1"/>
    <col min="6" max="6" width="2.21875" customWidth="1"/>
    <col min="7" max="7" width="16.77734375" style="2" bestFit="1" customWidth="1"/>
    <col min="8" max="8" width="24.5546875" style="2" bestFit="1" customWidth="1"/>
    <col min="9" max="9" width="19.21875" style="15" bestFit="1" customWidth="1"/>
    <col min="10" max="10" width="9.44140625" bestFit="1" customWidth="1"/>
    <col min="11" max="11" width="13.44140625" customWidth="1"/>
    <col min="12" max="12" width="10.44140625" bestFit="1" customWidth="1"/>
    <col min="14" max="14" width="11.21875" bestFit="1" customWidth="1"/>
  </cols>
  <sheetData>
    <row r="1" spans="1:15" ht="15" customHeight="1" x14ac:dyDescent="0.3">
      <c r="A1" s="123" t="s">
        <v>90</v>
      </c>
      <c r="B1" s="124"/>
      <c r="C1" s="124"/>
      <c r="D1" s="124"/>
      <c r="E1" s="124"/>
      <c r="F1" s="2"/>
      <c r="G1" s="4" t="s">
        <v>8</v>
      </c>
      <c r="H1" s="4" t="s">
        <v>78</v>
      </c>
      <c r="I1" s="14" t="s">
        <v>91</v>
      </c>
    </row>
    <row r="2" spans="1:15" s="2" customFormat="1" ht="16.2" thickBot="1" x14ac:dyDescent="0.35">
      <c r="A2" s="124"/>
      <c r="B2" s="124"/>
      <c r="C2" s="124"/>
      <c r="D2" s="124"/>
      <c r="E2" s="124"/>
      <c r="F2" s="3"/>
      <c r="G2" s="5">
        <v>2022</v>
      </c>
      <c r="H2" s="5">
        <v>2022</v>
      </c>
      <c r="I2" s="5">
        <v>2023</v>
      </c>
    </row>
    <row r="3" spans="1:15" ht="15.6" x14ac:dyDescent="0.3">
      <c r="A3" s="8"/>
      <c r="B3" s="8" t="s">
        <v>0</v>
      </c>
      <c r="C3" s="8"/>
      <c r="D3" s="8"/>
      <c r="E3" s="8"/>
      <c r="G3" s="20"/>
      <c r="H3" s="20"/>
      <c r="I3" s="31"/>
    </row>
    <row r="4" spans="1:15" ht="15.6" x14ac:dyDescent="0.3">
      <c r="A4" s="8"/>
      <c r="B4" s="8"/>
      <c r="C4" s="8" t="s">
        <v>1</v>
      </c>
      <c r="D4" s="8"/>
      <c r="E4" s="8"/>
      <c r="F4" s="6"/>
      <c r="G4" s="31">
        <v>150</v>
      </c>
      <c r="H4" s="20">
        <v>150</v>
      </c>
      <c r="I4" s="31">
        <v>150</v>
      </c>
    </row>
    <row r="5" spans="1:15" ht="16.2" thickBot="1" x14ac:dyDescent="0.35">
      <c r="A5" s="8"/>
      <c r="B5" s="8"/>
      <c r="C5" s="8" t="s">
        <v>12</v>
      </c>
      <c r="D5" s="8"/>
      <c r="E5" s="8"/>
      <c r="F5" s="6"/>
      <c r="G5" s="32">
        <f>150*4*13</f>
        <v>7800</v>
      </c>
      <c r="H5" s="20">
        <v>6600</v>
      </c>
      <c r="I5" s="32">
        <v>7000</v>
      </c>
      <c r="K5" s="33">
        <f>842*4*28</f>
        <v>94304</v>
      </c>
    </row>
    <row r="6" spans="1:15" ht="15.6" x14ac:dyDescent="0.3">
      <c r="A6" s="8"/>
      <c r="B6" s="8"/>
      <c r="C6" s="8" t="s">
        <v>69</v>
      </c>
      <c r="D6" s="8"/>
      <c r="E6" s="8"/>
      <c r="F6" s="6"/>
      <c r="G6" s="32">
        <v>0</v>
      </c>
      <c r="H6" s="20">
        <v>0</v>
      </c>
      <c r="I6" s="32">
        <v>0</v>
      </c>
      <c r="K6" s="32"/>
    </row>
    <row r="7" spans="1:15" ht="15.6" x14ac:dyDescent="0.3">
      <c r="A7" s="8"/>
      <c r="B7" s="8"/>
      <c r="C7" s="8" t="s">
        <v>13</v>
      </c>
      <c r="D7" s="8"/>
      <c r="E7" s="8"/>
      <c r="F7" s="6"/>
      <c r="G7" s="32">
        <v>2000</v>
      </c>
      <c r="H7" s="20">
        <v>2500</v>
      </c>
      <c r="I7" s="32">
        <v>2500</v>
      </c>
    </row>
    <row r="8" spans="1:15" ht="15.6" x14ac:dyDescent="0.3">
      <c r="A8" s="8"/>
      <c r="B8" s="8"/>
      <c r="C8" s="8" t="s">
        <v>2</v>
      </c>
      <c r="D8" s="8"/>
      <c r="E8" s="8"/>
      <c r="F8" s="6"/>
      <c r="G8" s="32">
        <v>100</v>
      </c>
      <c r="H8" s="20">
        <v>165</v>
      </c>
      <c r="I8" s="32">
        <v>100</v>
      </c>
    </row>
    <row r="9" spans="1:15" ht="15.6" x14ac:dyDescent="0.3">
      <c r="A9" s="8"/>
      <c r="B9" s="8"/>
      <c r="C9" s="8" t="s">
        <v>39</v>
      </c>
      <c r="D9" s="8"/>
      <c r="E9" s="8"/>
      <c r="F9" s="6"/>
      <c r="G9" s="32">
        <v>6608</v>
      </c>
      <c r="H9" s="20">
        <f>2555.75*4</f>
        <v>10223</v>
      </c>
      <c r="I9" s="20">
        <f>SUM('reserves 2023'!I11)</f>
        <v>17308.080000000002</v>
      </c>
      <c r="N9">
        <f>842*28*4</f>
        <v>94304</v>
      </c>
    </row>
    <row r="10" spans="1:15" ht="16.2" thickBot="1" x14ac:dyDescent="0.35">
      <c r="A10" s="8"/>
      <c r="B10" s="8"/>
      <c r="C10" s="8" t="s">
        <v>3</v>
      </c>
      <c r="D10" s="8"/>
      <c r="E10" s="8"/>
      <c r="F10" s="6"/>
      <c r="G10" s="33">
        <v>87696</v>
      </c>
      <c r="H10" s="27">
        <v>97000</v>
      </c>
      <c r="I10" s="33">
        <f>SUM(I33-I8-I7-I4-I5)</f>
        <v>88700</v>
      </c>
      <c r="K10" s="7"/>
      <c r="M10">
        <v>750</v>
      </c>
      <c r="N10">
        <f>750*4*28</f>
        <v>84000</v>
      </c>
      <c r="O10">
        <f>N10-15466.67</f>
        <v>68533.33</v>
      </c>
    </row>
    <row r="11" spans="1:15" ht="15.6" x14ac:dyDescent="0.3">
      <c r="A11" s="8"/>
      <c r="B11" s="8" t="s">
        <v>4</v>
      </c>
      <c r="C11" s="8"/>
      <c r="D11" s="8"/>
      <c r="E11" s="8"/>
      <c r="F11" s="6"/>
      <c r="G11" s="26">
        <f>SUM(G4:G10)</f>
        <v>104354</v>
      </c>
      <c r="H11" s="28">
        <f>SUM(H4:H10)</f>
        <v>116638</v>
      </c>
      <c r="I11" s="26">
        <f>SUM(I4:I10)</f>
        <v>115758.08</v>
      </c>
      <c r="K11">
        <f>842*28*4</f>
        <v>94304</v>
      </c>
      <c r="M11">
        <v>800</v>
      </c>
      <c r="N11">
        <f>800*4*28</f>
        <v>89600</v>
      </c>
      <c r="O11">
        <f>N11-15466.67</f>
        <v>74133.33</v>
      </c>
    </row>
    <row r="12" spans="1:15" ht="15.6" x14ac:dyDescent="0.3">
      <c r="A12" s="8"/>
      <c r="B12" s="8" t="s">
        <v>5</v>
      </c>
      <c r="C12" s="8"/>
      <c r="D12" s="8"/>
      <c r="E12" s="8"/>
      <c r="F12" s="6"/>
      <c r="G12" s="20"/>
      <c r="H12" s="20"/>
      <c r="I12" s="20"/>
      <c r="K12" s="52">
        <f>K11-H9</f>
        <v>84081</v>
      </c>
    </row>
    <row r="13" spans="1:15" ht="15.6" x14ac:dyDescent="0.3">
      <c r="A13" s="8"/>
      <c r="B13" s="8"/>
      <c r="C13" s="8" t="s">
        <v>14</v>
      </c>
      <c r="D13" s="8"/>
      <c r="E13" s="8"/>
      <c r="F13" s="6"/>
      <c r="G13" s="32">
        <v>2200</v>
      </c>
      <c r="H13" s="20">
        <v>3000</v>
      </c>
      <c r="I13" s="32">
        <v>3000</v>
      </c>
    </row>
    <row r="14" spans="1:15" ht="15.6" x14ac:dyDescent="0.3">
      <c r="A14" s="8"/>
      <c r="B14" s="8"/>
      <c r="C14" s="8" t="s">
        <v>15</v>
      </c>
      <c r="D14" s="8"/>
      <c r="E14" s="8"/>
      <c r="F14" s="6"/>
      <c r="G14" s="32">
        <v>14000</v>
      </c>
      <c r="H14" s="20">
        <v>14000</v>
      </c>
      <c r="I14" s="32">
        <v>15000</v>
      </c>
      <c r="K14" s="52"/>
    </row>
    <row r="15" spans="1:15" ht="15.6" x14ac:dyDescent="0.3">
      <c r="A15" s="8"/>
      <c r="B15" s="8"/>
      <c r="C15" s="8" t="s">
        <v>16</v>
      </c>
      <c r="D15" s="49"/>
      <c r="E15" s="49"/>
      <c r="F15" s="6"/>
      <c r="G15" s="32">
        <v>4100</v>
      </c>
      <c r="H15" s="20">
        <v>3900</v>
      </c>
      <c r="I15" s="32">
        <v>4200</v>
      </c>
    </row>
    <row r="16" spans="1:15" ht="15.6" x14ac:dyDescent="0.3">
      <c r="A16" s="8"/>
      <c r="B16" s="8"/>
      <c r="C16" s="8" t="s">
        <v>17</v>
      </c>
      <c r="D16" s="8"/>
      <c r="E16" s="8"/>
      <c r="F16" s="6"/>
      <c r="G16" s="32">
        <v>1000</v>
      </c>
      <c r="H16" s="20">
        <v>1200</v>
      </c>
      <c r="I16" s="32">
        <v>1200</v>
      </c>
      <c r="K16" s="52"/>
      <c r="M16" s="52"/>
    </row>
    <row r="17" spans="1:13" ht="15.6" x14ac:dyDescent="0.3">
      <c r="A17" s="8"/>
      <c r="B17" s="8"/>
      <c r="C17" s="8" t="s">
        <v>18</v>
      </c>
      <c r="D17" s="8"/>
      <c r="E17" s="8"/>
      <c r="F17" s="6"/>
      <c r="G17" s="32">
        <v>1200</v>
      </c>
      <c r="H17" s="20">
        <v>1200</v>
      </c>
      <c r="I17" s="32">
        <v>1400</v>
      </c>
      <c r="L17">
        <v>41865</v>
      </c>
    </row>
    <row r="18" spans="1:13" ht="15.6" x14ac:dyDescent="0.3">
      <c r="A18" s="8"/>
      <c r="B18" s="8"/>
      <c r="C18" s="8" t="s">
        <v>19</v>
      </c>
      <c r="D18" s="8"/>
      <c r="E18" s="8"/>
      <c r="F18" s="24"/>
      <c r="G18" s="32">
        <v>37146</v>
      </c>
      <c r="H18" s="20">
        <v>37000</v>
      </c>
      <c r="I18" s="32">
        <v>40000</v>
      </c>
    </row>
    <row r="19" spans="1:13" ht="15.6" x14ac:dyDescent="0.3">
      <c r="A19" s="8"/>
      <c r="B19" s="8"/>
      <c r="C19" s="8" t="s">
        <v>20</v>
      </c>
      <c r="D19" s="8"/>
      <c r="E19" s="8"/>
      <c r="F19" s="6"/>
      <c r="G19" s="32">
        <v>9000</v>
      </c>
      <c r="H19" s="20">
        <v>5200</v>
      </c>
      <c r="I19" s="32">
        <v>5400</v>
      </c>
      <c r="J19" s="58"/>
      <c r="K19" s="59"/>
      <c r="L19" s="58"/>
    </row>
    <row r="20" spans="1:13" ht="15.6" x14ac:dyDescent="0.3">
      <c r="A20" s="8"/>
      <c r="B20" s="8"/>
      <c r="C20" s="8" t="s">
        <v>22</v>
      </c>
      <c r="D20" s="8"/>
      <c r="E20" s="8"/>
      <c r="F20" s="6"/>
      <c r="G20" s="32">
        <v>2600</v>
      </c>
      <c r="H20" s="20">
        <v>3300</v>
      </c>
      <c r="I20" s="32">
        <v>3000</v>
      </c>
      <c r="L20" s="52"/>
    </row>
    <row r="21" spans="1:13" ht="21.6" customHeight="1" x14ac:dyDescent="0.3">
      <c r="A21" s="8"/>
      <c r="B21" s="8"/>
      <c r="C21" s="8" t="s">
        <v>23</v>
      </c>
      <c r="D21" s="8"/>
      <c r="E21" s="8"/>
      <c r="F21" s="6"/>
      <c r="G21" s="32">
        <v>1500</v>
      </c>
      <c r="H21" s="20">
        <v>23000</v>
      </c>
      <c r="I21" s="32">
        <v>2500</v>
      </c>
    </row>
    <row r="22" spans="1:13" ht="15.6" x14ac:dyDescent="0.3">
      <c r="A22" s="8"/>
      <c r="B22" s="8"/>
      <c r="C22" s="8" t="s">
        <v>24</v>
      </c>
      <c r="D22" s="8"/>
      <c r="E22" s="8"/>
      <c r="F22" s="6"/>
      <c r="G22" s="32">
        <v>100</v>
      </c>
      <c r="H22" s="20">
        <v>5500</v>
      </c>
      <c r="I22" s="32">
        <v>2500</v>
      </c>
    </row>
    <row r="23" spans="1:13" ht="15.6" x14ac:dyDescent="0.3">
      <c r="A23" s="8"/>
      <c r="B23" s="8"/>
      <c r="C23" s="8" t="s">
        <v>25</v>
      </c>
      <c r="D23" s="8"/>
      <c r="E23" s="8"/>
      <c r="F23" s="6"/>
      <c r="G23" s="32">
        <v>3000</v>
      </c>
      <c r="H23" s="20">
        <v>0</v>
      </c>
      <c r="I23" s="32">
        <v>3000</v>
      </c>
    </row>
    <row r="24" spans="1:13" ht="15.6" x14ac:dyDescent="0.3">
      <c r="A24" s="8"/>
      <c r="B24" s="8"/>
      <c r="C24" s="8" t="s">
        <v>38</v>
      </c>
      <c r="D24" s="8"/>
      <c r="E24" s="8"/>
      <c r="F24" s="6"/>
      <c r="G24" s="32">
        <v>5000</v>
      </c>
      <c r="H24" s="20">
        <v>6200</v>
      </c>
      <c r="I24" s="32">
        <v>4000</v>
      </c>
      <c r="L24" s="52">
        <f>I33/28/4</f>
        <v>879.01785714285711</v>
      </c>
    </row>
    <row r="25" spans="1:13" ht="15.6" x14ac:dyDescent="0.3">
      <c r="A25" s="8"/>
      <c r="B25" s="8"/>
      <c r="C25" s="8" t="s">
        <v>26</v>
      </c>
      <c r="D25" s="8"/>
      <c r="E25" s="8"/>
      <c r="F25" s="6"/>
      <c r="G25" s="32">
        <v>5000</v>
      </c>
      <c r="H25" s="20">
        <v>1000</v>
      </c>
      <c r="I25" s="32">
        <v>1200</v>
      </c>
    </row>
    <row r="26" spans="1:13" ht="15.6" x14ac:dyDescent="0.3">
      <c r="A26" s="8"/>
      <c r="B26" s="8"/>
      <c r="C26" s="8" t="s">
        <v>28</v>
      </c>
      <c r="D26" s="8"/>
      <c r="E26" s="8"/>
      <c r="F26" s="6"/>
      <c r="G26" s="32">
        <v>1800</v>
      </c>
      <c r="H26" s="20">
        <v>300</v>
      </c>
      <c r="I26" s="32">
        <v>500</v>
      </c>
    </row>
    <row r="27" spans="1:13" ht="22.5" customHeight="1" x14ac:dyDescent="0.3">
      <c r="A27" s="8"/>
      <c r="B27" s="8"/>
      <c r="C27" s="8" t="s">
        <v>29</v>
      </c>
      <c r="D27" s="8"/>
      <c r="E27" s="8"/>
      <c r="F27" s="6"/>
      <c r="G27" s="32">
        <v>5000</v>
      </c>
      <c r="H27" s="20">
        <v>4600</v>
      </c>
      <c r="I27" s="32">
        <v>3000</v>
      </c>
      <c r="L27">
        <f>SUM(I1028/4)</f>
        <v>0</v>
      </c>
    </row>
    <row r="28" spans="1:13" ht="15.6" x14ac:dyDescent="0.3">
      <c r="A28" s="8"/>
      <c r="B28" s="8"/>
      <c r="C28" s="8" t="s">
        <v>6</v>
      </c>
      <c r="D28" s="8"/>
      <c r="E28" s="8"/>
      <c r="F28" s="6"/>
      <c r="G28" s="32">
        <v>250</v>
      </c>
      <c r="H28" s="20">
        <v>500</v>
      </c>
      <c r="I28" s="32">
        <v>300</v>
      </c>
    </row>
    <row r="29" spans="1:13" ht="15.6" x14ac:dyDescent="0.3">
      <c r="A29" s="8"/>
      <c r="B29" s="8"/>
      <c r="C29" s="8" t="s">
        <v>31</v>
      </c>
      <c r="D29" s="8"/>
      <c r="E29" s="8"/>
      <c r="F29" s="6"/>
      <c r="G29" s="32">
        <v>550</v>
      </c>
      <c r="H29" s="20">
        <v>800</v>
      </c>
      <c r="I29" s="32">
        <v>750</v>
      </c>
      <c r="L29" s="52">
        <f>I10/28/4</f>
        <v>791.96428571428567</v>
      </c>
      <c r="M29">
        <v>7</v>
      </c>
    </row>
    <row r="30" spans="1:13" ht="15.6" x14ac:dyDescent="0.3">
      <c r="A30" s="8"/>
      <c r="B30" s="8"/>
      <c r="C30" s="8" t="s">
        <v>34</v>
      </c>
      <c r="D30" s="8"/>
      <c r="E30" s="8"/>
      <c r="F30" s="6"/>
      <c r="G30" s="32">
        <v>600</v>
      </c>
      <c r="H30" s="20">
        <v>700</v>
      </c>
      <c r="I30" s="32">
        <v>700</v>
      </c>
    </row>
    <row r="31" spans="1:13" ht="15.6" x14ac:dyDescent="0.3">
      <c r="A31" s="8"/>
      <c r="B31" s="8"/>
      <c r="C31" s="8" t="s">
        <v>36</v>
      </c>
      <c r="D31" s="8"/>
      <c r="E31" s="8"/>
      <c r="F31" s="6"/>
      <c r="G31" s="32">
        <f>350*12</f>
        <v>4200</v>
      </c>
      <c r="H31" s="20">
        <f>350*12</f>
        <v>4200</v>
      </c>
      <c r="I31" s="32">
        <f>350*12</f>
        <v>4200</v>
      </c>
    </row>
    <row r="32" spans="1:13" ht="16.2" thickBot="1" x14ac:dyDescent="0.35">
      <c r="A32" s="8"/>
      <c r="C32" s="8" t="s">
        <v>37</v>
      </c>
      <c r="D32" s="8"/>
      <c r="E32" s="8"/>
      <c r="F32" s="6"/>
      <c r="G32" s="33">
        <v>3000</v>
      </c>
      <c r="H32" s="27">
        <v>3000</v>
      </c>
      <c r="I32" s="33">
        <v>2600</v>
      </c>
      <c r="L32" s="52">
        <f>I10/28/4</f>
        <v>791.96428571428567</v>
      </c>
    </row>
    <row r="33" spans="1:14" s="1" customFormat="1" ht="15.6" x14ac:dyDescent="0.3">
      <c r="A33" s="9"/>
      <c r="B33" s="8" t="s">
        <v>7</v>
      </c>
      <c r="C33" s="8"/>
      <c r="D33" s="8"/>
      <c r="E33" s="8"/>
      <c r="F33" s="17"/>
      <c r="G33" s="25">
        <f>SUM(G13:G32)</f>
        <v>101246</v>
      </c>
      <c r="H33" s="29">
        <f>SUM(H13:H32)</f>
        <v>118600</v>
      </c>
      <c r="I33" s="25">
        <f>SUM(I13:I32)</f>
        <v>98450</v>
      </c>
    </row>
    <row r="34" spans="1:14" ht="15" customHeight="1" x14ac:dyDescent="0.3">
      <c r="A34" s="10"/>
      <c r="B34" s="10"/>
      <c r="C34" s="9"/>
      <c r="D34" s="9"/>
      <c r="E34" s="9"/>
      <c r="F34" s="18"/>
      <c r="G34" s="34"/>
      <c r="H34" s="34"/>
      <c r="I34" s="34"/>
    </row>
    <row r="35" spans="1:14" ht="37.5" customHeight="1" thickBot="1" x14ac:dyDescent="0.35">
      <c r="A35" s="10"/>
      <c r="B35" s="10"/>
      <c r="C35" s="89" t="s">
        <v>39</v>
      </c>
      <c r="D35" s="89"/>
      <c r="E35" s="89"/>
      <c r="F35" s="18"/>
      <c r="G35" s="30">
        <v>6608</v>
      </c>
      <c r="H35" s="30">
        <f>SUM(H9)</f>
        <v>10223</v>
      </c>
      <c r="I35" s="27">
        <f>SUM('reserves 2023'!I11)</f>
        <v>17308.080000000002</v>
      </c>
      <c r="L35" s="52">
        <f>SUM(I10/4/28)</f>
        <v>791.96428571428567</v>
      </c>
    </row>
    <row r="36" spans="1:14" ht="15.6" x14ac:dyDescent="0.3">
      <c r="C36" s="89" t="s">
        <v>40</v>
      </c>
      <c r="D36" s="89"/>
      <c r="E36" s="89"/>
      <c r="F36" s="6"/>
      <c r="G36" s="11">
        <f>SUM(G33+G35)</f>
        <v>107854</v>
      </c>
      <c r="H36" s="28">
        <f>SUM(H35+H33)</f>
        <v>128823</v>
      </c>
      <c r="I36" s="11">
        <f>SUM(I33+I35)</f>
        <v>115758.08</v>
      </c>
    </row>
    <row r="37" spans="1:14" ht="16.2" thickBot="1" x14ac:dyDescent="0.35">
      <c r="F37" s="6"/>
      <c r="G37" s="6"/>
      <c r="H37" s="6"/>
      <c r="I37" s="21"/>
    </row>
    <row r="38" spans="1:14" ht="15.6" customHeight="1" x14ac:dyDescent="0.3">
      <c r="C38" s="131" t="s">
        <v>92</v>
      </c>
      <c r="D38" s="132"/>
      <c r="E38" s="132"/>
      <c r="F38" s="132"/>
      <c r="G38" s="132"/>
      <c r="H38" s="132"/>
      <c r="I38" s="133"/>
      <c r="J38" s="58"/>
      <c r="K38" s="58"/>
      <c r="L38" s="58"/>
      <c r="M38" s="58"/>
      <c r="N38" s="59"/>
    </row>
    <row r="39" spans="1:14" ht="57.6" customHeight="1" thickBot="1" x14ac:dyDescent="0.35">
      <c r="A39" s="12"/>
      <c r="B39" s="12"/>
      <c r="C39" s="134"/>
      <c r="D39" s="135"/>
      <c r="E39" s="135"/>
      <c r="F39" s="135"/>
      <c r="G39" s="135"/>
      <c r="H39" s="135"/>
      <c r="I39" s="136"/>
    </row>
    <row r="40" spans="1:14" ht="15.6" x14ac:dyDescent="0.3">
      <c r="A40" s="13"/>
      <c r="B40" s="13"/>
      <c r="C40" s="12"/>
      <c r="D40" s="12"/>
      <c r="E40" s="12"/>
      <c r="F40" s="91"/>
      <c r="G40" s="91"/>
      <c r="H40" s="6"/>
      <c r="I40" s="22"/>
    </row>
    <row r="41" spans="1:14" ht="15.6" x14ac:dyDescent="0.3">
      <c r="A41" s="13"/>
      <c r="B41" s="13"/>
      <c r="C41" s="13"/>
      <c r="D41" s="13"/>
      <c r="E41" s="90"/>
      <c r="F41" s="91"/>
      <c r="G41" s="91"/>
      <c r="H41" s="19"/>
      <c r="I41" s="22"/>
    </row>
    <row r="42" spans="1:14" ht="15.6" x14ac:dyDescent="0.3">
      <c r="A42" s="13"/>
      <c r="B42" s="13"/>
      <c r="C42" s="13"/>
      <c r="D42" s="13"/>
      <c r="E42" s="90"/>
      <c r="F42" s="91"/>
      <c r="G42" s="91"/>
      <c r="H42" s="6"/>
      <c r="I42" s="23"/>
    </row>
    <row r="43" spans="1:14" ht="15.6" x14ac:dyDescent="0.3">
      <c r="A43" s="13"/>
      <c r="B43" s="13"/>
      <c r="C43" s="13"/>
      <c r="D43" s="13"/>
      <c r="E43" s="90"/>
      <c r="F43" s="91"/>
      <c r="G43" s="91"/>
      <c r="H43" s="19"/>
      <c r="I43" s="23"/>
    </row>
    <row r="44" spans="1:14" ht="15.6" x14ac:dyDescent="0.3">
      <c r="A44" s="13"/>
      <c r="B44" s="13"/>
      <c r="C44" s="13"/>
      <c r="D44" s="13"/>
      <c r="E44" s="90"/>
      <c r="F44" s="91"/>
      <c r="G44" s="91"/>
      <c r="H44" s="6"/>
      <c r="I44" s="23"/>
    </row>
    <row r="45" spans="1:14" ht="15.6" x14ac:dyDescent="0.3">
      <c r="A45" s="13"/>
      <c r="B45" s="13"/>
      <c r="C45" s="13"/>
      <c r="D45" s="13"/>
      <c r="E45" s="90"/>
      <c r="F45" s="91"/>
      <c r="G45" s="91"/>
      <c r="H45" s="20"/>
      <c r="I45" s="23"/>
    </row>
    <row r="46" spans="1:14" x14ac:dyDescent="0.3">
      <c r="A46" s="13"/>
      <c r="B46" s="13"/>
      <c r="C46" s="13"/>
      <c r="D46" s="13"/>
      <c r="E46" s="90"/>
      <c r="F46" s="92"/>
      <c r="G46" s="92"/>
    </row>
    <row r="47" spans="1:14" x14ac:dyDescent="0.3">
      <c r="A47" s="13"/>
      <c r="B47" s="13"/>
      <c r="C47" s="13"/>
      <c r="D47" s="13"/>
      <c r="E47" s="90"/>
      <c r="F47" s="92"/>
      <c r="G47" s="92"/>
      <c r="H47" s="16"/>
    </row>
    <row r="48" spans="1:14" x14ac:dyDescent="0.3">
      <c r="A48" s="13"/>
      <c r="B48" s="13"/>
      <c r="C48" s="13"/>
      <c r="D48" s="13"/>
      <c r="E48" s="90"/>
      <c r="F48" s="92"/>
      <c r="G48" s="92"/>
    </row>
    <row r="49" spans="1:8" x14ac:dyDescent="0.3">
      <c r="A49" s="13"/>
      <c r="B49" s="13"/>
      <c r="C49" s="13"/>
      <c r="D49" s="13"/>
      <c r="E49" s="90"/>
      <c r="F49" s="92"/>
      <c r="G49" s="92"/>
      <c r="H49" s="16"/>
    </row>
    <row r="50" spans="1:8" x14ac:dyDescent="0.3">
      <c r="C50" s="13"/>
      <c r="D50" s="13"/>
      <c r="E50" s="90"/>
    </row>
  </sheetData>
  <mergeCells count="14">
    <mergeCell ref="F46:G47"/>
    <mergeCell ref="E47:E48"/>
    <mergeCell ref="F48:G49"/>
    <mergeCell ref="E49:E50"/>
    <mergeCell ref="A1:E2"/>
    <mergeCell ref="C35:E35"/>
    <mergeCell ref="C36:E36"/>
    <mergeCell ref="C38:I39"/>
    <mergeCell ref="F40:G41"/>
    <mergeCell ref="E41:E42"/>
    <mergeCell ref="F42:G43"/>
    <mergeCell ref="E43:E44"/>
    <mergeCell ref="F44:G45"/>
    <mergeCell ref="E45:E46"/>
  </mergeCells>
  <printOptions horizontalCentered="1" verticalCentered="1"/>
  <pageMargins left="0.45" right="0.45" top="0.75" bottom="0.75" header="0.3" footer="0.3"/>
  <pageSetup scale="71" orientation="portrait" r:id="rId1"/>
  <headerFooter>
    <oddHeader>&amp;CVilla Rio Condominium Association, Inc.
Amended Budget for 2023
January 1, 2023 to December 31, 2023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C2B40-D8E1-458F-921E-685945E6207B}">
  <sheetPr>
    <tabColor rgb="FFFFFF00"/>
  </sheetPr>
  <dimension ref="A1:K23"/>
  <sheetViews>
    <sheetView zoomScale="70" zoomScaleNormal="70" zoomScaleSheetLayoutView="75" workbookViewId="0">
      <selection activeCell="A12" sqref="A12"/>
    </sheetView>
  </sheetViews>
  <sheetFormatPr defaultColWidth="9.21875" defaultRowHeight="15.6" x14ac:dyDescent="0.3"/>
  <cols>
    <col min="1" max="1" width="34.5546875" style="35" customWidth="1"/>
    <col min="2" max="2" width="12.44140625" style="35" customWidth="1"/>
    <col min="3" max="3" width="18.21875" style="35" bestFit="1" customWidth="1"/>
    <col min="4" max="4" width="19" style="35" bestFit="1" customWidth="1"/>
    <col min="5" max="5" width="15.44140625" style="35" bestFit="1" customWidth="1"/>
    <col min="6" max="6" width="22.44140625" style="35" customWidth="1"/>
    <col min="7" max="7" width="22.77734375" style="35" bestFit="1" customWidth="1"/>
    <col min="8" max="8" width="18.5546875" style="35" customWidth="1"/>
    <col min="9" max="9" width="16.77734375" style="35" customWidth="1"/>
    <col min="10" max="10" width="20.44140625" style="35" customWidth="1"/>
    <col min="11" max="11" width="10.77734375" style="35" bestFit="1" customWidth="1"/>
    <col min="12" max="16384" width="9.21875" style="35"/>
  </cols>
  <sheetData>
    <row r="1" spans="1:11" x14ac:dyDescent="0.3">
      <c r="A1" s="93" t="s">
        <v>86</v>
      </c>
      <c r="B1" s="93"/>
      <c r="C1" s="93"/>
      <c r="D1" s="93"/>
      <c r="E1" s="93"/>
      <c r="F1" s="93"/>
      <c r="G1" s="93"/>
      <c r="H1" s="93"/>
      <c r="I1" s="93"/>
    </row>
    <row r="2" spans="1:11" x14ac:dyDescent="0.3">
      <c r="A2" s="94"/>
      <c r="B2" s="94"/>
      <c r="C2" s="94"/>
      <c r="D2" s="94"/>
      <c r="E2" s="94"/>
      <c r="F2" s="94"/>
      <c r="G2" s="94"/>
      <c r="H2" s="94"/>
      <c r="I2" s="94"/>
    </row>
    <row r="3" spans="1:11" ht="34.5" customHeight="1" x14ac:dyDescent="0.3">
      <c r="A3" s="95" t="s">
        <v>42</v>
      </c>
      <c r="B3" s="36" t="s">
        <v>43</v>
      </c>
      <c r="C3" s="36" t="s">
        <v>43</v>
      </c>
      <c r="D3" s="36" t="s">
        <v>44</v>
      </c>
      <c r="E3" s="36" t="s">
        <v>45</v>
      </c>
      <c r="F3" s="36" t="s">
        <v>46</v>
      </c>
      <c r="G3" s="36" t="s">
        <v>47</v>
      </c>
      <c r="H3" s="54" t="s">
        <v>48</v>
      </c>
      <c r="I3" s="63"/>
    </row>
    <row r="4" spans="1:11" ht="34.5" customHeight="1" x14ac:dyDescent="0.3">
      <c r="A4" s="96"/>
      <c r="B4" s="36" t="s">
        <v>49</v>
      </c>
      <c r="C4" s="36" t="s">
        <v>50</v>
      </c>
      <c r="D4" s="36" t="s">
        <v>51</v>
      </c>
      <c r="E4" s="36" t="s">
        <v>39</v>
      </c>
      <c r="F4" s="36" t="s">
        <v>52</v>
      </c>
      <c r="G4" s="36" t="s">
        <v>48</v>
      </c>
      <c r="H4" s="36" t="s">
        <v>87</v>
      </c>
      <c r="I4" s="113" t="s">
        <v>84</v>
      </c>
    </row>
    <row r="5" spans="1:11" ht="34.5" customHeight="1" x14ac:dyDescent="0.3">
      <c r="A5" s="36"/>
      <c r="B5" s="37"/>
      <c r="C5" s="37"/>
      <c r="D5" s="37" t="s">
        <v>53</v>
      </c>
      <c r="E5" s="38">
        <v>44926</v>
      </c>
      <c r="F5" s="37" t="s">
        <v>54</v>
      </c>
      <c r="G5" s="37" t="s">
        <v>55</v>
      </c>
      <c r="H5" s="37" t="s">
        <v>56</v>
      </c>
      <c r="I5" s="114"/>
    </row>
    <row r="6" spans="1:11" ht="34.5" customHeight="1" x14ac:dyDescent="0.3">
      <c r="A6" s="39" t="s">
        <v>57</v>
      </c>
      <c r="B6" s="40">
        <v>7</v>
      </c>
      <c r="C6" s="41">
        <v>18000</v>
      </c>
      <c r="D6" s="42">
        <v>0.15</v>
      </c>
      <c r="E6" s="68">
        <f>E11*D6+10070</f>
        <v>17617.417999999998</v>
      </c>
      <c r="F6" s="40">
        <v>1</v>
      </c>
      <c r="G6" s="43">
        <f>C6-E6</f>
        <v>382.58200000000215</v>
      </c>
      <c r="H6" s="43">
        <f>SUM(G6/F6)</f>
        <v>382.58200000000215</v>
      </c>
      <c r="I6" s="43">
        <f t="shared" ref="I6:I10" si="0">H6*0.3</f>
        <v>114.77460000000065</v>
      </c>
      <c r="K6" s="76">
        <f ca="1">SUM(I6:I10)</f>
        <v>0</v>
      </c>
    </row>
    <row r="7" spans="1:11" ht="34.5" customHeight="1" x14ac:dyDescent="0.3">
      <c r="A7" s="39" t="s">
        <v>58</v>
      </c>
      <c r="B7" s="40">
        <v>20</v>
      </c>
      <c r="C7" s="41">
        <v>120000</v>
      </c>
      <c r="D7" s="42">
        <v>0.45</v>
      </c>
      <c r="E7" s="68">
        <f>E11*D7</f>
        <v>22642.253999999997</v>
      </c>
      <c r="F7" s="40">
        <v>4</v>
      </c>
      <c r="G7" s="43">
        <f t="shared" ref="G7:G9" si="1">C7-E7</f>
        <v>97357.745999999999</v>
      </c>
      <c r="H7" s="43">
        <f>SUM(G7/F7)</f>
        <v>24339.4365</v>
      </c>
      <c r="I7" s="43">
        <f t="shared" si="0"/>
        <v>7301.8309499999996</v>
      </c>
    </row>
    <row r="8" spans="1:11" ht="34.5" customHeight="1" x14ac:dyDescent="0.3">
      <c r="A8" s="39" t="s">
        <v>73</v>
      </c>
      <c r="B8" s="40">
        <v>20</v>
      </c>
      <c r="C8" s="41">
        <v>80000</v>
      </c>
      <c r="D8" s="42">
        <v>0.2</v>
      </c>
      <c r="E8" s="68">
        <f ca="1">(E11*D8)-E8</f>
        <v>0</v>
      </c>
      <c r="F8" s="40">
        <v>4</v>
      </c>
      <c r="G8" s="43">
        <f ca="1">C8-E8</f>
        <v>120252.8</v>
      </c>
      <c r="H8" s="43">
        <f ca="1">G8/F8</f>
        <v>30063.200000000001</v>
      </c>
      <c r="I8" s="43">
        <f t="shared" ca="1" si="0"/>
        <v>9018.9599999999991</v>
      </c>
      <c r="K8" s="50">
        <f ca="1">SUM(H6+H7+H8+H9+H10)</f>
        <v>0</v>
      </c>
    </row>
    <row r="9" spans="1:11" ht="34.5" customHeight="1" x14ac:dyDescent="0.3">
      <c r="A9" s="39" t="s">
        <v>59</v>
      </c>
      <c r="B9" s="40">
        <v>15</v>
      </c>
      <c r="C9" s="41">
        <v>20000</v>
      </c>
      <c r="D9" s="42">
        <v>0.1</v>
      </c>
      <c r="E9" s="68">
        <f>E11*D9</f>
        <v>5031.6120000000001</v>
      </c>
      <c r="F9" s="40">
        <v>12</v>
      </c>
      <c r="G9" s="43">
        <f t="shared" si="1"/>
        <v>14968.387999999999</v>
      </c>
      <c r="H9" s="43">
        <f>SUM(G9/F9)</f>
        <v>1247.3656666666666</v>
      </c>
      <c r="I9" s="43">
        <f t="shared" si="0"/>
        <v>374.20969999999994</v>
      </c>
    </row>
    <row r="10" spans="1:11" ht="34.5" customHeight="1" x14ac:dyDescent="0.3">
      <c r="A10" s="39" t="s">
        <v>60</v>
      </c>
      <c r="B10" s="40">
        <v>10</v>
      </c>
      <c r="C10" s="41">
        <v>15000</v>
      </c>
      <c r="D10" s="42">
        <v>0.1</v>
      </c>
      <c r="E10" s="68">
        <f>E11*D10</f>
        <v>5031.6120000000001</v>
      </c>
      <c r="F10" s="40">
        <v>6</v>
      </c>
      <c r="G10" s="43">
        <f>C10-E10</f>
        <v>9968.387999999999</v>
      </c>
      <c r="H10" s="43">
        <f>SUM(G10/F10)</f>
        <v>1661.3979999999999</v>
      </c>
      <c r="I10" s="43">
        <f t="shared" si="0"/>
        <v>498.41939999999994</v>
      </c>
    </row>
    <row r="11" spans="1:11" ht="34.5" customHeight="1" x14ac:dyDescent="0.3">
      <c r="A11" s="39" t="s">
        <v>61</v>
      </c>
      <c r="B11" s="36"/>
      <c r="C11" s="71">
        <f>SUM(C6:C9)</f>
        <v>238000</v>
      </c>
      <c r="D11" s="70">
        <f>SUM(D6:D10)</f>
        <v>1</v>
      </c>
      <c r="E11" s="71">
        <f>20126.52+20126.4+5031.6+5031.6</f>
        <v>50316.119999999995</v>
      </c>
      <c r="F11" s="72"/>
      <c r="G11" s="71">
        <f>C11-E11</f>
        <v>187683.88</v>
      </c>
      <c r="H11" s="71">
        <v>57693.99</v>
      </c>
      <c r="I11" s="73">
        <v>17308.080000000002</v>
      </c>
      <c r="J11" s="50">
        <f ca="1">H6+H7+H8+H9+H10</f>
        <v>0</v>
      </c>
      <c r="K11" s="50">
        <f ca="1">SUM(H6:H10)</f>
        <v>0</v>
      </c>
    </row>
    <row r="12" spans="1:11" ht="34.5" customHeight="1" thickBot="1" x14ac:dyDescent="0.35">
      <c r="K12" s="35">
        <f>842-783</f>
        <v>59</v>
      </c>
    </row>
    <row r="13" spans="1:11" ht="69" customHeight="1" x14ac:dyDescent="0.3">
      <c r="A13" s="115" t="s">
        <v>62</v>
      </c>
      <c r="B13" s="116"/>
      <c r="C13" s="53" t="s">
        <v>88</v>
      </c>
      <c r="D13" s="56" t="s">
        <v>70</v>
      </c>
      <c r="E13" s="119" t="s">
        <v>71</v>
      </c>
      <c r="F13" s="120"/>
      <c r="G13" s="69" t="s">
        <v>83</v>
      </c>
      <c r="H13" s="114" t="s">
        <v>82</v>
      </c>
      <c r="I13" s="114"/>
      <c r="K13" s="50">
        <f>I11/4</f>
        <v>4327.0200000000004</v>
      </c>
    </row>
    <row r="14" spans="1:11" ht="34.5" customHeight="1" thickBot="1" x14ac:dyDescent="0.35">
      <c r="A14" s="117"/>
      <c r="B14" s="118"/>
      <c r="C14" s="74">
        <v>792</v>
      </c>
      <c r="D14" s="65">
        <f>SUM(H11/28)/4</f>
        <v>515.12491071428565</v>
      </c>
      <c r="E14" s="125">
        <f>C14+D14</f>
        <v>1307.1249107142858</v>
      </c>
      <c r="F14" s="126"/>
      <c r="G14" s="75">
        <f>SUM(I11/28/4)</f>
        <v>154.53642857142859</v>
      </c>
      <c r="H14" s="137">
        <f>SUM(C14+G14)</f>
        <v>946.53642857142859</v>
      </c>
      <c r="I14" s="137"/>
    </row>
    <row r="15" spans="1:11" ht="34.5" customHeight="1" thickBot="1" x14ac:dyDescent="0.35">
      <c r="D15" s="60"/>
      <c r="E15" s="14"/>
      <c r="F15" s="14"/>
      <c r="I15" s="35" t="s">
        <v>89</v>
      </c>
      <c r="K15" s="35">
        <f>155*28*4</f>
        <v>17360</v>
      </c>
    </row>
    <row r="16" spans="1:11" ht="34.5" customHeight="1" x14ac:dyDescent="0.3">
      <c r="A16" s="97" t="s">
        <v>63</v>
      </c>
      <c r="B16" s="98"/>
      <c r="C16" s="98"/>
      <c r="D16" s="98"/>
      <c r="E16" s="98"/>
      <c r="F16" s="98"/>
      <c r="G16" s="98"/>
      <c r="H16" s="99"/>
    </row>
    <row r="17" spans="1:10" ht="34.5" customHeight="1" thickBot="1" x14ac:dyDescent="0.35">
      <c r="A17" s="100"/>
      <c r="B17" s="101"/>
      <c r="C17" s="101"/>
      <c r="D17" s="101"/>
      <c r="E17" s="101"/>
      <c r="F17" s="101"/>
      <c r="G17" s="101"/>
      <c r="H17" s="102"/>
    </row>
    <row r="21" spans="1:10" x14ac:dyDescent="0.3">
      <c r="G21" s="35">
        <f>41865/28/8</f>
        <v>186.89732142857142</v>
      </c>
    </row>
    <row r="22" spans="1:10" x14ac:dyDescent="0.3">
      <c r="G22" s="35">
        <f>1500/8</f>
        <v>187.5</v>
      </c>
    </row>
    <row r="23" spans="1:10" x14ac:dyDescent="0.3">
      <c r="J23" s="35">
        <f>114.77+7301.83+9018.96+374.1+498.42</f>
        <v>17308.079999999994</v>
      </c>
    </row>
  </sheetData>
  <mergeCells count="9">
    <mergeCell ref="A16:H17"/>
    <mergeCell ref="A1:I2"/>
    <mergeCell ref="A3:A4"/>
    <mergeCell ref="I4:I5"/>
    <mergeCell ref="A13:B14"/>
    <mergeCell ref="E13:F13"/>
    <mergeCell ref="H13:I13"/>
    <mergeCell ref="E14:F14"/>
    <mergeCell ref="H14:I14"/>
  </mergeCells>
  <pageMargins left="0.25" right="0.25" top="0.75" bottom="0.75" header="0.3" footer="0.3"/>
  <pageSetup scale="6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C671E-64A8-4FB1-B553-F4A0D08AFE21}">
  <sheetPr>
    <tabColor rgb="FFFFFF00"/>
  </sheetPr>
  <dimension ref="A1:P52"/>
  <sheetViews>
    <sheetView tabSelected="1" zoomScale="87" zoomScaleNormal="87" workbookViewId="0">
      <pane xSplit="5" ySplit="2" topLeftCell="F3" activePane="bottomRight" state="frozen"/>
      <selection pane="topRight" activeCell="BJ1" sqref="BJ1"/>
      <selection pane="bottomLeft" activeCell="A3" sqref="A3"/>
      <selection pane="bottomRight" activeCell="I17" sqref="I17"/>
    </sheetView>
  </sheetViews>
  <sheetFormatPr defaultColWidth="8.77734375" defaultRowHeight="14.4" x14ac:dyDescent="0.3"/>
  <cols>
    <col min="1" max="4" width="3" style="1" customWidth="1"/>
    <col min="5" max="5" width="32.44140625" style="1" customWidth="1"/>
    <col min="6" max="6" width="2.21875" customWidth="1"/>
    <col min="7" max="7" width="16.77734375" style="2" bestFit="1" customWidth="1"/>
    <col min="8" max="8" width="24.5546875" style="2" bestFit="1" customWidth="1"/>
    <col min="9" max="9" width="19.21875" style="15" bestFit="1" customWidth="1"/>
    <col min="10" max="10" width="9.44140625" bestFit="1" customWidth="1"/>
    <col min="11" max="11" width="13.44140625" customWidth="1"/>
    <col min="12" max="12" width="10.44140625" bestFit="1" customWidth="1"/>
    <col min="14" max="14" width="11.21875" bestFit="1" customWidth="1"/>
    <col min="16" max="16" width="12.44140625" bestFit="1" customWidth="1"/>
  </cols>
  <sheetData>
    <row r="1" spans="1:15" ht="15" customHeight="1" x14ac:dyDescent="0.3">
      <c r="A1" s="123" t="s">
        <v>95</v>
      </c>
      <c r="B1" s="124"/>
      <c r="C1" s="124"/>
      <c r="D1" s="124"/>
      <c r="E1" s="124"/>
      <c r="F1" s="2"/>
      <c r="G1" s="4" t="s">
        <v>8</v>
      </c>
      <c r="H1" s="4" t="s">
        <v>78</v>
      </c>
      <c r="I1" s="14" t="s">
        <v>93</v>
      </c>
    </row>
    <row r="2" spans="1:15" s="2" customFormat="1" ht="16.2" thickBot="1" x14ac:dyDescent="0.35">
      <c r="A2" s="124"/>
      <c r="B2" s="124"/>
      <c r="C2" s="124"/>
      <c r="D2" s="124"/>
      <c r="E2" s="124"/>
      <c r="F2" s="3"/>
      <c r="G2" s="5">
        <v>2023</v>
      </c>
      <c r="H2" s="5">
        <v>2023</v>
      </c>
      <c r="I2" s="5">
        <v>2024</v>
      </c>
    </row>
    <row r="3" spans="1:15" ht="15.6" x14ac:dyDescent="0.3">
      <c r="A3" s="8"/>
      <c r="B3" s="8" t="s">
        <v>0</v>
      </c>
      <c r="C3" s="8"/>
      <c r="D3" s="8"/>
      <c r="E3" s="8"/>
      <c r="G3" s="20"/>
      <c r="H3" s="20"/>
      <c r="I3" s="31"/>
    </row>
    <row r="4" spans="1:15" ht="15.6" x14ac:dyDescent="0.3">
      <c r="A4" s="8"/>
      <c r="B4" s="8"/>
      <c r="C4" s="8" t="s">
        <v>1</v>
      </c>
      <c r="D4" s="8"/>
      <c r="E4" s="8"/>
      <c r="F4" s="6"/>
      <c r="G4" s="31">
        <v>150</v>
      </c>
      <c r="H4" s="20">
        <v>150</v>
      </c>
      <c r="I4" s="31">
        <v>50</v>
      </c>
    </row>
    <row r="5" spans="1:15" ht="16.2" thickBot="1" x14ac:dyDescent="0.35">
      <c r="A5" s="8"/>
      <c r="B5" s="8"/>
      <c r="C5" s="8" t="s">
        <v>12</v>
      </c>
      <c r="D5" s="8"/>
      <c r="E5" s="8"/>
      <c r="F5" s="6"/>
      <c r="G5" s="32">
        <v>7000</v>
      </c>
      <c r="H5" s="20">
        <v>5400</v>
      </c>
      <c r="I5" s="32">
        <v>2000</v>
      </c>
      <c r="K5" s="33">
        <f>842*4*28</f>
        <v>94304</v>
      </c>
    </row>
    <row r="6" spans="1:15" ht="15.6" x14ac:dyDescent="0.3">
      <c r="A6" s="8"/>
      <c r="B6" s="8"/>
      <c r="C6" s="8" t="s">
        <v>69</v>
      </c>
      <c r="D6" s="8"/>
      <c r="E6" s="8"/>
      <c r="F6" s="6"/>
      <c r="G6" s="32">
        <v>0</v>
      </c>
      <c r="H6" s="20">
        <v>0</v>
      </c>
      <c r="I6" s="32">
        <v>0</v>
      </c>
      <c r="K6" s="32"/>
    </row>
    <row r="7" spans="1:15" ht="15.6" x14ac:dyDescent="0.3">
      <c r="A7" s="8"/>
      <c r="B7" s="8"/>
      <c r="C7" s="8" t="s">
        <v>13</v>
      </c>
      <c r="D7" s="8"/>
      <c r="E7" s="8"/>
      <c r="F7" s="6"/>
      <c r="G7" s="32">
        <v>2500</v>
      </c>
      <c r="H7" s="20">
        <v>3600</v>
      </c>
      <c r="I7" s="32">
        <v>3600</v>
      </c>
    </row>
    <row r="8" spans="1:15" ht="15.6" x14ac:dyDescent="0.3">
      <c r="A8" s="8"/>
      <c r="B8" s="8"/>
      <c r="C8" s="8" t="s">
        <v>2</v>
      </c>
      <c r="D8" s="8"/>
      <c r="E8" s="8"/>
      <c r="F8" s="6"/>
      <c r="G8" s="32">
        <v>100</v>
      </c>
      <c r="H8" s="20">
        <v>100</v>
      </c>
      <c r="I8" s="32">
        <v>100</v>
      </c>
      <c r="K8" s="52">
        <f>I38-I4-I5-I7-I8-I9</f>
        <v>142690.00454545452</v>
      </c>
    </row>
    <row r="9" spans="1:15" ht="15.6" x14ac:dyDescent="0.3">
      <c r="A9" s="8"/>
      <c r="B9" s="8"/>
      <c r="C9" s="8" t="s">
        <v>39</v>
      </c>
      <c r="D9" s="8"/>
      <c r="E9" s="8"/>
      <c r="F9" s="6"/>
      <c r="G9" s="32">
        <v>17308</v>
      </c>
      <c r="H9" s="20">
        <v>17308</v>
      </c>
      <c r="I9" s="20">
        <f>SUM('reserves 2024'!I11)</f>
        <v>20724.605454545457</v>
      </c>
      <c r="N9">
        <f>842*28*4</f>
        <v>94304</v>
      </c>
    </row>
    <row r="10" spans="1:15" ht="16.2" thickBot="1" x14ac:dyDescent="0.35">
      <c r="A10" s="8"/>
      <c r="B10" s="8"/>
      <c r="C10" s="8" t="s">
        <v>3</v>
      </c>
      <c r="D10" s="8"/>
      <c r="E10" s="8"/>
      <c r="F10" s="6"/>
      <c r="G10" s="33">
        <v>88700</v>
      </c>
      <c r="H10" s="27">
        <v>91000</v>
      </c>
      <c r="I10" s="33">
        <v>142690</v>
      </c>
      <c r="K10" s="7"/>
      <c r="M10">
        <v>750</v>
      </c>
      <c r="N10">
        <f>750*4*28</f>
        <v>84000</v>
      </c>
      <c r="O10">
        <f>N10-15466.67</f>
        <v>68533.33</v>
      </c>
    </row>
    <row r="11" spans="1:15" ht="15.6" x14ac:dyDescent="0.3">
      <c r="A11" s="8"/>
      <c r="B11" s="8" t="s">
        <v>4</v>
      </c>
      <c r="C11" s="8"/>
      <c r="D11" s="8"/>
      <c r="E11" s="8"/>
      <c r="F11" s="6"/>
      <c r="G11" s="26">
        <f>SUM(G4:G10)</f>
        <v>115758</v>
      </c>
      <c r="H11" s="28">
        <f>SUM(H4:H10)</f>
        <v>117558</v>
      </c>
      <c r="I11" s="26">
        <f>SUM(I4:I10)</f>
        <v>169164.60545454547</v>
      </c>
      <c r="K11">
        <f>842*28*4</f>
        <v>94304</v>
      </c>
      <c r="M11">
        <v>800</v>
      </c>
      <c r="N11">
        <f>800*4*28</f>
        <v>89600</v>
      </c>
      <c r="O11">
        <f>N11-15466.67</f>
        <v>74133.33</v>
      </c>
    </row>
    <row r="12" spans="1:15" ht="15.6" x14ac:dyDescent="0.3">
      <c r="A12" s="8"/>
      <c r="B12" s="8" t="s">
        <v>5</v>
      </c>
      <c r="C12" s="8"/>
      <c r="D12" s="8"/>
      <c r="E12" s="8"/>
      <c r="F12" s="6"/>
      <c r="G12" s="20"/>
      <c r="H12" s="20"/>
      <c r="I12" s="20"/>
      <c r="K12" s="52">
        <f>K11-H9</f>
        <v>76996</v>
      </c>
    </row>
    <row r="13" spans="1:15" ht="15.6" x14ac:dyDescent="0.3">
      <c r="A13" s="8"/>
      <c r="B13" s="8"/>
      <c r="C13" s="8" t="s">
        <v>14</v>
      </c>
      <c r="D13" s="8"/>
      <c r="E13" s="8"/>
      <c r="F13" s="6"/>
      <c r="G13" s="32">
        <v>3000</v>
      </c>
      <c r="H13" s="20">
        <v>3300</v>
      </c>
      <c r="I13" s="32">
        <v>3000</v>
      </c>
    </row>
    <row r="14" spans="1:15" ht="15.6" x14ac:dyDescent="0.3">
      <c r="A14" s="8"/>
      <c r="B14" s="8"/>
      <c r="C14" s="8" t="s">
        <v>15</v>
      </c>
      <c r="D14" s="8"/>
      <c r="E14" s="8"/>
      <c r="F14" s="6"/>
      <c r="G14" s="32">
        <v>15000</v>
      </c>
      <c r="H14" s="20">
        <v>16100</v>
      </c>
      <c r="I14" s="32">
        <v>16200</v>
      </c>
      <c r="K14" s="52"/>
    </row>
    <row r="15" spans="1:15" ht="15.6" x14ac:dyDescent="0.3">
      <c r="A15" s="8"/>
      <c r="B15" s="8"/>
      <c r="C15" s="8" t="s">
        <v>16</v>
      </c>
      <c r="D15" s="49"/>
      <c r="E15" s="49"/>
      <c r="F15" s="6"/>
      <c r="G15" s="32">
        <v>4200</v>
      </c>
      <c r="H15" s="20">
        <v>2400</v>
      </c>
      <c r="I15" s="32">
        <v>3600</v>
      </c>
    </row>
    <row r="16" spans="1:15" ht="15.6" x14ac:dyDescent="0.3">
      <c r="A16" s="8"/>
      <c r="B16" s="8"/>
      <c r="C16" s="8" t="s">
        <v>17</v>
      </c>
      <c r="D16" s="8"/>
      <c r="E16" s="8"/>
      <c r="F16" s="6"/>
      <c r="G16" s="32">
        <v>1200</v>
      </c>
      <c r="H16" s="20">
        <v>1200</v>
      </c>
      <c r="I16" s="32">
        <v>1200</v>
      </c>
      <c r="K16" s="52"/>
      <c r="M16" s="52"/>
    </row>
    <row r="17" spans="1:16" ht="15.6" x14ac:dyDescent="0.3">
      <c r="A17" s="8"/>
      <c r="B17" s="8"/>
      <c r="C17" s="8" t="s">
        <v>18</v>
      </c>
      <c r="D17" s="8"/>
      <c r="E17" s="8"/>
      <c r="F17" s="6"/>
      <c r="G17" s="32">
        <v>1400</v>
      </c>
      <c r="H17" s="20">
        <v>1300</v>
      </c>
      <c r="I17" s="32">
        <v>3900</v>
      </c>
      <c r="L17">
        <v>41865</v>
      </c>
    </row>
    <row r="18" spans="1:16" ht="15.6" x14ac:dyDescent="0.3">
      <c r="A18" s="8"/>
      <c r="B18" s="8"/>
      <c r="C18" s="8" t="s">
        <v>19</v>
      </c>
      <c r="D18" s="8"/>
      <c r="E18" s="8"/>
      <c r="F18" s="24"/>
      <c r="G18" s="32">
        <v>40000</v>
      </c>
      <c r="H18" s="20">
        <v>37000</v>
      </c>
      <c r="I18" s="32">
        <v>83200</v>
      </c>
      <c r="K18" t="s">
        <v>98</v>
      </c>
      <c r="L18" s="77">
        <v>3200</v>
      </c>
    </row>
    <row r="19" spans="1:16" ht="15.6" x14ac:dyDescent="0.3">
      <c r="A19" s="8"/>
      <c r="B19" s="8"/>
      <c r="C19" s="8" t="s">
        <v>20</v>
      </c>
      <c r="D19" s="8"/>
      <c r="E19" s="8"/>
      <c r="F19" s="6"/>
      <c r="G19" s="32">
        <v>5400</v>
      </c>
      <c r="H19" s="20">
        <v>4500</v>
      </c>
      <c r="I19" s="32">
        <v>6000</v>
      </c>
      <c r="J19" s="58"/>
      <c r="K19" s="59" t="s">
        <v>99</v>
      </c>
      <c r="L19" s="58">
        <v>67000</v>
      </c>
    </row>
    <row r="20" spans="1:16" ht="15.6" x14ac:dyDescent="0.3">
      <c r="A20" s="8"/>
      <c r="B20" s="8"/>
      <c r="C20" s="8" t="s">
        <v>22</v>
      </c>
      <c r="D20" s="8"/>
      <c r="E20" s="8"/>
      <c r="F20" s="6"/>
      <c r="G20" s="32">
        <v>3000</v>
      </c>
      <c r="H20" s="20">
        <v>2600</v>
      </c>
      <c r="I20" s="32">
        <v>2600</v>
      </c>
      <c r="L20" s="52">
        <v>13000</v>
      </c>
    </row>
    <row r="21" spans="1:16" ht="15.6" x14ac:dyDescent="0.3">
      <c r="A21" s="8"/>
      <c r="B21" s="8"/>
      <c r="C21" s="8" t="s">
        <v>100</v>
      </c>
      <c r="D21" s="8"/>
      <c r="E21" s="8"/>
      <c r="F21" s="6"/>
      <c r="G21" s="32">
        <v>0</v>
      </c>
      <c r="H21" s="20">
        <v>0</v>
      </c>
      <c r="I21" s="32">
        <v>2000</v>
      </c>
      <c r="L21" s="52"/>
    </row>
    <row r="22" spans="1:16" ht="15.6" x14ac:dyDescent="0.3">
      <c r="A22" s="8"/>
      <c r="B22" s="8"/>
      <c r="C22" s="8" t="s">
        <v>101</v>
      </c>
      <c r="D22" s="8"/>
      <c r="E22" s="8"/>
      <c r="F22" s="6"/>
      <c r="G22" s="32">
        <v>0</v>
      </c>
      <c r="H22" s="20">
        <v>0</v>
      </c>
      <c r="I22" s="32">
        <v>2040</v>
      </c>
      <c r="K22">
        <v>0</v>
      </c>
      <c r="L22" s="52"/>
      <c r="O22" s="52">
        <f>I10/28/4</f>
        <v>1274.0178571428571</v>
      </c>
    </row>
    <row r="23" spans="1:16" ht="21.6" customHeight="1" x14ac:dyDescent="0.3">
      <c r="A23" s="8"/>
      <c r="B23" s="8"/>
      <c r="C23" s="8" t="s">
        <v>23</v>
      </c>
      <c r="D23" s="8"/>
      <c r="E23" s="8"/>
      <c r="F23" s="6"/>
      <c r="G23" s="32">
        <v>2500</v>
      </c>
      <c r="H23" s="20">
        <v>2500</v>
      </c>
      <c r="I23" s="32">
        <v>1000</v>
      </c>
      <c r="L23" s="77">
        <f>SUM(L18:L20)</f>
        <v>83200</v>
      </c>
    </row>
    <row r="24" spans="1:16" ht="15.6" x14ac:dyDescent="0.3">
      <c r="A24" s="8"/>
      <c r="B24" s="8"/>
      <c r="C24" s="8" t="s">
        <v>24</v>
      </c>
      <c r="D24" s="8"/>
      <c r="E24" s="8"/>
      <c r="F24" s="6"/>
      <c r="G24" s="32">
        <v>2500</v>
      </c>
      <c r="H24" s="20">
        <v>2000</v>
      </c>
      <c r="I24" s="32">
        <v>1200</v>
      </c>
    </row>
    <row r="25" spans="1:16" ht="15.6" x14ac:dyDescent="0.3">
      <c r="A25" s="8"/>
      <c r="B25" s="8"/>
      <c r="C25" s="8" t="s">
        <v>25</v>
      </c>
      <c r="D25" s="8"/>
      <c r="E25" s="8"/>
      <c r="F25" s="6"/>
      <c r="G25" s="32">
        <v>3000</v>
      </c>
      <c r="H25" s="20">
        <v>2500</v>
      </c>
      <c r="I25" s="32">
        <v>7000</v>
      </c>
    </row>
    <row r="26" spans="1:16" ht="15.6" x14ac:dyDescent="0.3">
      <c r="A26" s="8"/>
      <c r="B26" s="8"/>
      <c r="C26" s="8" t="s">
        <v>38</v>
      </c>
      <c r="D26" s="8"/>
      <c r="E26" s="8"/>
      <c r="F26" s="6"/>
      <c r="G26" s="32">
        <v>4000</v>
      </c>
      <c r="H26" s="20">
        <v>6900</v>
      </c>
      <c r="I26" s="32">
        <v>4000</v>
      </c>
      <c r="L26" s="52">
        <f>I35/28/4</f>
        <v>1325.3571428571429</v>
      </c>
    </row>
    <row r="27" spans="1:16" ht="15.6" x14ac:dyDescent="0.3">
      <c r="A27" s="8"/>
      <c r="B27" s="8"/>
      <c r="C27" s="8" t="s">
        <v>26</v>
      </c>
      <c r="D27" s="8"/>
      <c r="E27" s="8"/>
      <c r="F27" s="6"/>
      <c r="G27" s="32">
        <v>1200</v>
      </c>
      <c r="H27" s="20">
        <v>1200</v>
      </c>
      <c r="I27" s="32">
        <v>1200</v>
      </c>
      <c r="P27" s="52">
        <f>(148440-I4-I5-I7-I8)/4/28</f>
        <v>1274.0178571428571</v>
      </c>
    </row>
    <row r="28" spans="1:16" ht="15.6" x14ac:dyDescent="0.3">
      <c r="A28" s="8"/>
      <c r="B28" s="8"/>
      <c r="C28" s="8" t="s">
        <v>28</v>
      </c>
      <c r="D28" s="8"/>
      <c r="E28" s="8"/>
      <c r="F28" s="6"/>
      <c r="G28" s="32">
        <v>500</v>
      </c>
      <c r="H28" s="20">
        <v>500</v>
      </c>
      <c r="I28" s="32">
        <v>500</v>
      </c>
    </row>
    <row r="29" spans="1:16" ht="22.5" customHeight="1" x14ac:dyDescent="0.3">
      <c r="A29" s="8"/>
      <c r="B29" s="8"/>
      <c r="C29" s="8" t="s">
        <v>29</v>
      </c>
      <c r="D29" s="8"/>
      <c r="E29" s="8"/>
      <c r="F29" s="6"/>
      <c r="G29" s="32">
        <v>3000</v>
      </c>
      <c r="H29" s="20">
        <v>7800</v>
      </c>
      <c r="I29" s="32">
        <v>3000</v>
      </c>
      <c r="L29">
        <f>SUM(I1030/4)</f>
        <v>0</v>
      </c>
    </row>
    <row r="30" spans="1:16" ht="15.6" x14ac:dyDescent="0.3">
      <c r="A30" s="8"/>
      <c r="B30" s="8"/>
      <c r="C30" s="8" t="s">
        <v>6</v>
      </c>
      <c r="D30" s="8"/>
      <c r="E30" s="8"/>
      <c r="F30" s="6"/>
      <c r="G30" s="32">
        <v>300</v>
      </c>
      <c r="H30" s="20">
        <v>300</v>
      </c>
      <c r="I30" s="32">
        <v>400</v>
      </c>
    </row>
    <row r="31" spans="1:16" ht="15.6" x14ac:dyDescent="0.3">
      <c r="A31" s="8"/>
      <c r="B31" s="8"/>
      <c r="C31" s="8" t="s">
        <v>31</v>
      </c>
      <c r="D31" s="8"/>
      <c r="E31" s="8"/>
      <c r="F31" s="6"/>
      <c r="G31" s="32">
        <v>750</v>
      </c>
      <c r="H31" s="20">
        <v>750</v>
      </c>
      <c r="I31" s="32">
        <v>400</v>
      </c>
      <c r="L31" s="52">
        <f>I10/28/4</f>
        <v>1274.0178571428571</v>
      </c>
      <c r="M31">
        <v>7</v>
      </c>
    </row>
    <row r="32" spans="1:16" ht="15.6" x14ac:dyDescent="0.3">
      <c r="A32" s="8"/>
      <c r="B32" s="8"/>
      <c r="C32" s="8" t="s">
        <v>34</v>
      </c>
      <c r="D32" s="8"/>
      <c r="E32" s="8"/>
      <c r="F32" s="6"/>
      <c r="G32" s="32">
        <v>700</v>
      </c>
      <c r="H32" s="20">
        <v>700</v>
      </c>
      <c r="I32" s="32">
        <v>800</v>
      </c>
    </row>
    <row r="33" spans="1:14" ht="15.6" x14ac:dyDescent="0.3">
      <c r="A33" s="8"/>
      <c r="B33" s="8"/>
      <c r="C33" s="8" t="s">
        <v>36</v>
      </c>
      <c r="D33" s="8"/>
      <c r="E33" s="8"/>
      <c r="F33" s="6"/>
      <c r="G33" s="32">
        <f>350*12</f>
        <v>4200</v>
      </c>
      <c r="H33" s="20">
        <f>350*12</f>
        <v>4200</v>
      </c>
      <c r="I33" s="32">
        <f>350*12</f>
        <v>4200</v>
      </c>
    </row>
    <row r="34" spans="1:14" ht="16.2" thickBot="1" x14ac:dyDescent="0.35">
      <c r="A34" s="8"/>
      <c r="C34" s="8" t="s">
        <v>37</v>
      </c>
      <c r="D34" s="8"/>
      <c r="E34" s="8"/>
      <c r="F34" s="6"/>
      <c r="G34" s="33">
        <v>2600</v>
      </c>
      <c r="H34" s="27">
        <v>2500</v>
      </c>
      <c r="I34" s="33">
        <v>1000</v>
      </c>
      <c r="K34" s="52">
        <f>SUM(I38-I4-I5-I7-I8-I9)</f>
        <v>142690.00454545452</v>
      </c>
      <c r="L34" s="52">
        <f>I10/28/4</f>
        <v>1274.0178571428571</v>
      </c>
    </row>
    <row r="35" spans="1:14" s="1" customFormat="1" ht="15.6" x14ac:dyDescent="0.3">
      <c r="A35" s="9"/>
      <c r="B35" s="8" t="s">
        <v>7</v>
      </c>
      <c r="C35" s="8"/>
      <c r="D35" s="8"/>
      <c r="E35" s="8"/>
      <c r="F35" s="17"/>
      <c r="G35" s="25">
        <f>SUM(G13:G34)</f>
        <v>98450</v>
      </c>
      <c r="H35" s="29">
        <f>SUM(H13:H34)</f>
        <v>100250</v>
      </c>
      <c r="I35" s="25">
        <f>SUM(I13:I34)</f>
        <v>148440</v>
      </c>
    </row>
    <row r="36" spans="1:14" ht="15" customHeight="1" x14ac:dyDescent="0.3">
      <c r="A36" s="10"/>
      <c r="B36" s="10"/>
      <c r="C36" s="9"/>
      <c r="D36" s="9"/>
      <c r="E36" s="9"/>
      <c r="F36" s="18"/>
      <c r="G36" s="34"/>
      <c r="H36" s="34"/>
      <c r="I36" s="34"/>
    </row>
    <row r="37" spans="1:14" ht="37.5" customHeight="1" thickBot="1" x14ac:dyDescent="0.35">
      <c r="A37" s="10"/>
      <c r="B37" s="10"/>
      <c r="C37" s="89" t="s">
        <v>39</v>
      </c>
      <c r="D37" s="89"/>
      <c r="E37" s="89"/>
      <c r="F37" s="18"/>
      <c r="G37" s="30">
        <v>17308</v>
      </c>
      <c r="H37" s="30">
        <f>SUM(H9)</f>
        <v>17308</v>
      </c>
      <c r="I37" s="27">
        <v>20724.61</v>
      </c>
      <c r="K37" s="52">
        <f>I10/28/4</f>
        <v>1274.0178571428571</v>
      </c>
      <c r="L37" s="52">
        <f>SUM(I10/4/28)</f>
        <v>1274.0178571428571</v>
      </c>
    </row>
    <row r="38" spans="1:14" ht="15.6" x14ac:dyDescent="0.3">
      <c r="C38" s="89" t="s">
        <v>40</v>
      </c>
      <c r="D38" s="89"/>
      <c r="E38" s="89"/>
      <c r="F38" s="6"/>
      <c r="G38" s="11">
        <f>SUM(G35+G37)</f>
        <v>115758</v>
      </c>
      <c r="H38" s="28">
        <f>SUM(H37+H35)</f>
        <v>117558</v>
      </c>
      <c r="I38" s="11">
        <f>SUM(I35+I37)</f>
        <v>169164.61</v>
      </c>
    </row>
    <row r="39" spans="1:14" ht="16.2" thickBot="1" x14ac:dyDescent="0.35">
      <c r="F39" s="6"/>
      <c r="G39" s="6"/>
      <c r="H39" s="6"/>
      <c r="I39" s="21"/>
    </row>
    <row r="40" spans="1:14" ht="15.6" customHeight="1" x14ac:dyDescent="0.3">
      <c r="C40" s="131" t="s">
        <v>102</v>
      </c>
      <c r="D40" s="132"/>
      <c r="E40" s="132"/>
      <c r="F40" s="132"/>
      <c r="G40" s="132"/>
      <c r="H40" s="132"/>
      <c r="I40" s="133"/>
      <c r="J40" s="58"/>
      <c r="K40" s="58"/>
      <c r="L40" s="58"/>
      <c r="M40" s="58"/>
      <c r="N40" s="59"/>
    </row>
    <row r="41" spans="1:14" ht="57.6" customHeight="1" thickBot="1" x14ac:dyDescent="0.35">
      <c r="A41" s="12"/>
      <c r="B41" s="12"/>
      <c r="C41" s="134"/>
      <c r="D41" s="135"/>
      <c r="E41" s="135"/>
      <c r="F41" s="135"/>
      <c r="G41" s="135"/>
      <c r="H41" s="135"/>
      <c r="I41" s="136"/>
    </row>
    <row r="42" spans="1:14" ht="15.6" x14ac:dyDescent="0.3">
      <c r="A42" s="13"/>
      <c r="B42" s="13"/>
      <c r="C42" s="12"/>
      <c r="D42" s="12"/>
      <c r="E42" s="12"/>
      <c r="F42" s="91"/>
      <c r="G42" s="91"/>
      <c r="H42" s="6"/>
      <c r="I42" s="22"/>
    </row>
    <row r="43" spans="1:14" ht="15.6" x14ac:dyDescent="0.3">
      <c r="A43" s="13"/>
      <c r="B43" s="13"/>
      <c r="C43" s="13"/>
      <c r="D43" s="13"/>
      <c r="E43" s="90"/>
      <c r="F43" s="91"/>
      <c r="G43" s="91"/>
      <c r="H43" s="19"/>
      <c r="I43" s="22"/>
    </row>
    <row r="44" spans="1:14" ht="15.6" x14ac:dyDescent="0.3">
      <c r="A44" s="13"/>
      <c r="B44" s="13"/>
      <c r="C44" s="13"/>
      <c r="D44" s="13"/>
      <c r="E44" s="90"/>
      <c r="F44" s="91"/>
      <c r="G44" s="91"/>
      <c r="H44" s="6"/>
      <c r="I44" s="23"/>
    </row>
    <row r="45" spans="1:14" ht="15.6" x14ac:dyDescent="0.3">
      <c r="A45" s="13"/>
      <c r="B45" s="13"/>
      <c r="C45" s="13"/>
      <c r="D45" s="13"/>
      <c r="E45" s="90"/>
      <c r="F45" s="91"/>
      <c r="G45" s="91"/>
      <c r="H45" s="19"/>
      <c r="I45" s="23"/>
    </row>
    <row r="46" spans="1:14" ht="15.6" x14ac:dyDescent="0.3">
      <c r="A46" s="13"/>
      <c r="B46" s="13"/>
      <c r="C46" s="13"/>
      <c r="D46" s="13"/>
      <c r="E46" s="90"/>
      <c r="F46" s="91"/>
      <c r="G46" s="91"/>
      <c r="H46" s="6"/>
      <c r="I46" s="23"/>
    </row>
    <row r="47" spans="1:14" ht="15.6" x14ac:dyDescent="0.3">
      <c r="A47" s="13"/>
      <c r="B47" s="13"/>
      <c r="C47" s="13"/>
      <c r="D47" s="13"/>
      <c r="E47" s="90"/>
      <c r="F47" s="91"/>
      <c r="G47" s="91"/>
      <c r="H47" s="20"/>
      <c r="I47" s="23"/>
    </row>
    <row r="48" spans="1:14" x14ac:dyDescent="0.3">
      <c r="A48" s="13"/>
      <c r="B48" s="13"/>
      <c r="C48" s="13"/>
      <c r="D48" s="13"/>
      <c r="E48" s="90"/>
      <c r="F48" s="92"/>
      <c r="G48" s="92"/>
    </row>
    <row r="49" spans="1:8" x14ac:dyDescent="0.3">
      <c r="A49" s="13"/>
      <c r="B49" s="13"/>
      <c r="C49" s="13"/>
      <c r="D49" s="13"/>
      <c r="E49" s="90"/>
      <c r="F49" s="92"/>
      <c r="G49" s="92"/>
      <c r="H49" s="16"/>
    </row>
    <row r="50" spans="1:8" x14ac:dyDescent="0.3">
      <c r="A50" s="13"/>
      <c r="B50" s="13"/>
      <c r="C50" s="13"/>
      <c r="D50" s="13"/>
      <c r="E50" s="90"/>
      <c r="F50" s="92"/>
      <c r="G50" s="92"/>
    </row>
    <row r="51" spans="1:8" x14ac:dyDescent="0.3">
      <c r="A51" s="13"/>
      <c r="B51" s="13"/>
      <c r="C51" s="13"/>
      <c r="D51" s="13"/>
      <c r="E51" s="90"/>
      <c r="F51" s="92"/>
      <c r="G51" s="92"/>
      <c r="H51" s="16"/>
    </row>
    <row r="52" spans="1:8" x14ac:dyDescent="0.3">
      <c r="C52" s="13"/>
      <c r="D52" s="13"/>
      <c r="E52" s="90"/>
    </row>
  </sheetData>
  <mergeCells count="14">
    <mergeCell ref="F48:G49"/>
    <mergeCell ref="E49:E50"/>
    <mergeCell ref="F50:G51"/>
    <mergeCell ref="E51:E52"/>
    <mergeCell ref="A1:E2"/>
    <mergeCell ref="C37:E37"/>
    <mergeCell ref="C38:E38"/>
    <mergeCell ref="C40:I41"/>
    <mergeCell ref="F42:G43"/>
    <mergeCell ref="E43:E44"/>
    <mergeCell ref="F44:G45"/>
    <mergeCell ref="E45:E46"/>
    <mergeCell ref="F46:G47"/>
    <mergeCell ref="E47:E48"/>
  </mergeCells>
  <printOptions horizontalCentered="1" verticalCentered="1"/>
  <pageMargins left="0.45" right="0.45" top="0.75" bottom="0.75" header="0.3" footer="0.3"/>
  <pageSetup scale="71" orientation="portrait" horizontalDpi="300" verticalDpi="300" r:id="rId1"/>
  <headerFooter>
    <oddHeader>&amp;CVilla Rio Condominium Association, Inc.
Amended Budget for 2024
January 1, 2024 to December 31, 2024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10</vt:i4>
      </vt:variant>
    </vt:vector>
  </HeadingPairs>
  <TitlesOfParts>
    <vt:vector size="22" baseType="lpstr">
      <vt:lpstr>Budget 2020</vt:lpstr>
      <vt:lpstr>reserves 2020</vt:lpstr>
      <vt:lpstr>Budget 2021</vt:lpstr>
      <vt:lpstr>reserves 2021</vt:lpstr>
      <vt:lpstr>Budget 2022</vt:lpstr>
      <vt:lpstr>reserves 2022</vt:lpstr>
      <vt:lpstr>Budget 2023</vt:lpstr>
      <vt:lpstr>reserves 2023</vt:lpstr>
      <vt:lpstr>Budget 2024</vt:lpstr>
      <vt:lpstr>reserves 2024</vt:lpstr>
      <vt:lpstr>Sheet2</vt:lpstr>
      <vt:lpstr>Sheet3</vt:lpstr>
      <vt:lpstr>'Budget 2020'!Print_Area</vt:lpstr>
      <vt:lpstr>'Budget 2021'!Print_Area</vt:lpstr>
      <vt:lpstr>'Budget 2022'!Print_Area</vt:lpstr>
      <vt:lpstr>'Budget 2023'!Print_Area</vt:lpstr>
      <vt:lpstr>'Budget 2024'!Print_Area</vt:lpstr>
      <vt:lpstr>'reserves 2020'!Print_Area</vt:lpstr>
      <vt:lpstr>'reserves 2021'!Print_Area</vt:lpstr>
      <vt:lpstr>'reserves 2022'!Print_Area</vt:lpstr>
      <vt:lpstr>'reserves 2023'!Print_Area</vt:lpstr>
      <vt:lpstr>'reserves 2024'!Print_Area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jsb</dc:creator>
  <cp:lastModifiedBy>jamie blum</cp:lastModifiedBy>
  <cp:lastPrinted>2023-10-30T13:02:34Z</cp:lastPrinted>
  <dcterms:created xsi:type="dcterms:W3CDTF">2016-02-15T11:33:31Z</dcterms:created>
  <dcterms:modified xsi:type="dcterms:W3CDTF">2024-10-14T22:38:06Z</dcterms:modified>
</cp:coreProperties>
</file>