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1281454F-205E-4F5C-BC48-7B79B496371C}" xr6:coauthVersionLast="47" xr6:coauthVersionMax="47" xr10:uidLastSave="{00000000-0000-0000-0000-000000000000}"/>
  <bookViews>
    <workbookView xWindow="-108" yWindow="-108" windowWidth="23256" windowHeight="13896" firstSheet="6" activeTab="7" xr2:uid="{00000000-000D-0000-FFFF-FFFF00000000}"/>
  </bookViews>
  <sheets>
    <sheet name="Budget 2021" sheetId="7" r:id="rId1"/>
    <sheet name="reserves 2021" sheetId="8" r:id="rId2"/>
    <sheet name="budget 2022" sheetId="9" r:id="rId3"/>
    <sheet name="Sheet1" sheetId="12" r:id="rId4"/>
    <sheet name="reserves 2022" sheetId="11" r:id="rId5"/>
    <sheet name="budget 2023" sheetId="13" r:id="rId6"/>
    <sheet name="reserves 2023" sheetId="14" r:id="rId7"/>
    <sheet name="budget 2024" sheetId="15" r:id="rId8"/>
    <sheet name="reserves 2024" sheetId="16" r:id="rId9"/>
    <sheet name="paaint 2024" sheetId="17" r:id="rId10"/>
  </sheets>
  <definedNames>
    <definedName name="_xlnm.Print_Area" localSheetId="0">'Budget 2021'!$A$1:$D$48</definedName>
    <definedName name="_xlnm.Print_Area" localSheetId="2">'budget 2022'!$A$1:$D$53</definedName>
    <definedName name="_xlnm.Print_Area" localSheetId="5">'budget 2023'!$A$1:$D$51</definedName>
    <definedName name="_xlnm.Print_Area" localSheetId="7">'budget 2024'!$A$1:$E$57</definedName>
    <definedName name="_xlnm.Print_Area" localSheetId="1">'reserves 2021'!$A$1:$I$24</definedName>
    <definedName name="_xlnm.Print_Area" localSheetId="4">'reserves 2022'!$A$1:$I$21</definedName>
    <definedName name="_xlnm.Print_Area" localSheetId="6">'reserves 2023'!$A$1:$I$22</definedName>
    <definedName name="_xlnm.Print_Area" localSheetId="8">'reserves 2024'!$A$1:$I$22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17" l="1"/>
  <c r="G8" i="17"/>
  <c r="B14" i="17"/>
  <c r="E14" i="17" s="1"/>
  <c r="G14" i="17" s="1"/>
  <c r="B13" i="17"/>
  <c r="E13" i="17" s="1"/>
  <c r="G13" i="17" s="1"/>
  <c r="B9" i="17"/>
  <c r="E9" i="17" s="1"/>
  <c r="B8" i="17"/>
  <c r="E8" i="17" s="1"/>
  <c r="B4" i="17"/>
  <c r="E4" i="17" s="1"/>
  <c r="G4" i="17" s="1"/>
  <c r="B3" i="17"/>
  <c r="E3" i="17" s="1"/>
  <c r="G3" i="17" s="1"/>
  <c r="H59" i="15"/>
  <c r="H58" i="15"/>
  <c r="H60" i="15" s="1"/>
  <c r="H61" i="15" s="1"/>
  <c r="I55" i="15"/>
  <c r="I54" i="15"/>
  <c r="O48" i="15"/>
  <c r="O47" i="15"/>
  <c r="D8" i="15"/>
  <c r="D48" i="15"/>
  <c r="J4" i="17"/>
  <c r="J2" i="17" s="1"/>
  <c r="J3" i="17"/>
  <c r="O49" i="15" l="1"/>
  <c r="G15" i="16"/>
  <c r="G14" i="16"/>
  <c r="D15" i="16"/>
  <c r="D14" i="16"/>
  <c r="L44" i="15"/>
  <c r="L43" i="15"/>
  <c r="D26" i="15"/>
  <c r="D33" i="15" s="1"/>
  <c r="H17" i="15"/>
  <c r="K15" i="16"/>
  <c r="K14" i="16"/>
  <c r="K16" i="16" s="1"/>
  <c r="D11" i="16"/>
  <c r="C11" i="16"/>
  <c r="G11" i="16" s="1"/>
  <c r="E10" i="16"/>
  <c r="G10" i="16" s="1"/>
  <c r="H10" i="16" s="1"/>
  <c r="I10" i="16" s="1"/>
  <c r="E9" i="16"/>
  <c r="G9" i="16" s="1"/>
  <c r="H9" i="16" s="1"/>
  <c r="I9" i="16" s="1"/>
  <c r="E8" i="16"/>
  <c r="G8" i="16" s="1"/>
  <c r="H8" i="16" s="1"/>
  <c r="I8" i="16" s="1"/>
  <c r="E7" i="16"/>
  <c r="G7" i="16" s="1"/>
  <c r="H7" i="16" s="1"/>
  <c r="I7" i="16" s="1"/>
  <c r="H6" i="16"/>
  <c r="I6" i="16" s="1"/>
  <c r="E5" i="16"/>
  <c r="G5" i="16" s="1"/>
  <c r="H5" i="16" s="1"/>
  <c r="J51" i="15"/>
  <c r="J50" i="15"/>
  <c r="M48" i="15"/>
  <c r="D47" i="15"/>
  <c r="C47" i="15"/>
  <c r="B47" i="15"/>
  <c r="J41" i="15"/>
  <c r="H41" i="15"/>
  <c r="D41" i="15"/>
  <c r="C41" i="15"/>
  <c r="B41" i="15"/>
  <c r="H40" i="15"/>
  <c r="D37" i="15"/>
  <c r="C37" i="15"/>
  <c r="B37" i="15"/>
  <c r="M35" i="15"/>
  <c r="M34" i="15"/>
  <c r="N36" i="15" s="1"/>
  <c r="N37" i="15" s="1"/>
  <c r="N38" i="15" s="1"/>
  <c r="C33" i="15"/>
  <c r="B33" i="15"/>
  <c r="L29" i="15"/>
  <c r="L27" i="15"/>
  <c r="D24" i="15"/>
  <c r="B24" i="15"/>
  <c r="C23" i="15"/>
  <c r="C24" i="15" s="1"/>
  <c r="C13" i="15"/>
  <c r="B13" i="15"/>
  <c r="D11" i="15"/>
  <c r="D10" i="15"/>
  <c r="D46" i="13"/>
  <c r="D11" i="13"/>
  <c r="D45" i="13"/>
  <c r="C46" i="13"/>
  <c r="B46" i="13"/>
  <c r="H40" i="13"/>
  <c r="H39" i="13"/>
  <c r="E15" i="14"/>
  <c r="E14" i="14"/>
  <c r="K8" i="14"/>
  <c r="I9" i="14"/>
  <c r="I8" i="14"/>
  <c r="I7" i="14"/>
  <c r="I6" i="14"/>
  <c r="I5" i="14"/>
  <c r="I10" i="14"/>
  <c r="K16" i="14"/>
  <c r="K15" i="14"/>
  <c r="K14" i="14"/>
  <c r="G55" i="13"/>
  <c r="G54" i="13"/>
  <c r="G56" i="13" s="1"/>
  <c r="D8" i="13"/>
  <c r="H55" i="13"/>
  <c r="H54" i="13"/>
  <c r="D10" i="13"/>
  <c r="H6" i="14"/>
  <c r="D11" i="14"/>
  <c r="C11" i="14"/>
  <c r="G11" i="14" s="1"/>
  <c r="E10" i="14"/>
  <c r="G10" i="14" s="1"/>
  <c r="H10" i="14" s="1"/>
  <c r="E9" i="14"/>
  <c r="G9" i="14" s="1"/>
  <c r="H9" i="14" s="1"/>
  <c r="E8" i="14"/>
  <c r="G8" i="14" s="1"/>
  <c r="H8" i="14" s="1"/>
  <c r="E7" i="14"/>
  <c r="G7" i="14" s="1"/>
  <c r="H7" i="14" s="1"/>
  <c r="E5" i="14"/>
  <c r="G5" i="14" s="1"/>
  <c r="H5" i="14" s="1"/>
  <c r="J50" i="13"/>
  <c r="J49" i="13"/>
  <c r="M47" i="13"/>
  <c r="J40" i="13"/>
  <c r="D40" i="13"/>
  <c r="C40" i="13"/>
  <c r="B40" i="13"/>
  <c r="D36" i="13"/>
  <c r="C36" i="13"/>
  <c r="B36" i="13"/>
  <c r="M34" i="13"/>
  <c r="M33" i="13"/>
  <c r="D32" i="13"/>
  <c r="C32" i="13"/>
  <c r="B32" i="13"/>
  <c r="L28" i="13"/>
  <c r="L27" i="13"/>
  <c r="D24" i="13"/>
  <c r="B24" i="13"/>
  <c r="C23" i="13"/>
  <c r="C24" i="13" s="1"/>
  <c r="C13" i="13"/>
  <c r="B13" i="13"/>
  <c r="J4" i="12"/>
  <c r="J3" i="12"/>
  <c r="J2" i="12"/>
  <c r="B3" i="12"/>
  <c r="E3" i="12" s="1"/>
  <c r="M25" i="9"/>
  <c r="M24" i="9"/>
  <c r="L25" i="9"/>
  <c r="L24" i="9"/>
  <c r="G47" i="9"/>
  <c r="G46" i="9"/>
  <c r="N34" i="9"/>
  <c r="N33" i="9"/>
  <c r="N32" i="9"/>
  <c r="M32" i="9"/>
  <c r="M31" i="9"/>
  <c r="M30" i="9"/>
  <c r="G4" i="12"/>
  <c r="G3" i="12"/>
  <c r="J37" i="9"/>
  <c r="M43" i="9"/>
  <c r="J45" i="9"/>
  <c r="J46" i="9"/>
  <c r="F1" i="12"/>
  <c r="L25" i="11"/>
  <c r="C10" i="11"/>
  <c r="G10" i="11" s="1"/>
  <c r="E9" i="11"/>
  <c r="G9" i="11" s="1"/>
  <c r="H9" i="11" s="1"/>
  <c r="I9" i="11" s="1"/>
  <c r="E8" i="11"/>
  <c r="G8" i="11" s="1"/>
  <c r="H8" i="11" s="1"/>
  <c r="I8" i="11" s="1"/>
  <c r="E7" i="11"/>
  <c r="G7" i="11" s="1"/>
  <c r="H7" i="11" s="1"/>
  <c r="I7" i="11" s="1"/>
  <c r="E6" i="11"/>
  <c r="G6" i="11" s="1"/>
  <c r="H6" i="11" s="1"/>
  <c r="I6" i="11" s="1"/>
  <c r="E5" i="11"/>
  <c r="G5" i="11" s="1"/>
  <c r="H5" i="11" s="1"/>
  <c r="D42" i="9"/>
  <c r="C42" i="9"/>
  <c r="B42" i="9"/>
  <c r="D37" i="9"/>
  <c r="C37" i="9"/>
  <c r="B37" i="9"/>
  <c r="D33" i="9"/>
  <c r="C33" i="9"/>
  <c r="B33" i="9"/>
  <c r="D29" i="9"/>
  <c r="C29" i="9"/>
  <c r="B29" i="9"/>
  <c r="D21" i="9"/>
  <c r="B21" i="9"/>
  <c r="C20" i="9"/>
  <c r="C21" i="9" s="1"/>
  <c r="D11" i="9"/>
  <c r="C11" i="9"/>
  <c r="B11" i="9"/>
  <c r="I9" i="8"/>
  <c r="I8" i="8"/>
  <c r="I7" i="8"/>
  <c r="I6" i="8"/>
  <c r="I5" i="8"/>
  <c r="C14" i="8"/>
  <c r="C13" i="8"/>
  <c r="I14" i="16" l="1"/>
  <c r="I15" i="16"/>
  <c r="L45" i="15"/>
  <c r="H42" i="15"/>
  <c r="H11" i="16"/>
  <c r="I5" i="16"/>
  <c r="I11" i="16" s="1"/>
  <c r="G13" i="15"/>
  <c r="D13" i="15"/>
  <c r="M36" i="15"/>
  <c r="B48" i="15"/>
  <c r="C48" i="15"/>
  <c r="G48" i="15"/>
  <c r="D47" i="13"/>
  <c r="N35" i="13"/>
  <c r="N36" i="13" s="1"/>
  <c r="N37" i="13" s="1"/>
  <c r="D13" i="13"/>
  <c r="H41" i="13"/>
  <c r="G13" i="13"/>
  <c r="I11" i="14"/>
  <c r="H56" i="13"/>
  <c r="H11" i="14"/>
  <c r="M35" i="13"/>
  <c r="B47" i="13"/>
  <c r="C47" i="13"/>
  <c r="B4" i="12"/>
  <c r="E4" i="12" s="1"/>
  <c r="I48" i="9"/>
  <c r="C43" i="9"/>
  <c r="B43" i="9"/>
  <c r="D43" i="9"/>
  <c r="H10" i="11"/>
  <c r="I5" i="11"/>
  <c r="I10" i="11" s="1"/>
  <c r="D47" i="7"/>
  <c r="C24" i="7"/>
  <c r="C21" i="7"/>
  <c r="E15" i="16" l="1"/>
  <c r="E14" i="16"/>
  <c r="K8" i="16"/>
  <c r="G52" i="15"/>
  <c r="K51" i="15"/>
  <c r="L51" i="15" s="1"/>
  <c r="G51" i="15"/>
  <c r="K50" i="15"/>
  <c r="L50" i="15" s="1"/>
  <c r="M29" i="15"/>
  <c r="M27" i="15"/>
  <c r="G14" i="15"/>
  <c r="G14" i="13"/>
  <c r="G51" i="13"/>
  <c r="D15" i="14"/>
  <c r="K50" i="13"/>
  <c r="L50" i="13" s="1"/>
  <c r="G50" i="13"/>
  <c r="D14" i="14"/>
  <c r="K49" i="13"/>
  <c r="L49" i="13" s="1"/>
  <c r="M28" i="13"/>
  <c r="M27" i="13"/>
  <c r="G13" i="11"/>
  <c r="I13" i="11" s="1"/>
  <c r="G14" i="11"/>
  <c r="I14" i="11" s="1"/>
  <c r="E14" i="11"/>
  <c r="E13" i="11"/>
  <c r="K46" i="9"/>
  <c r="L46" i="9" s="1"/>
  <c r="K45" i="9"/>
  <c r="L45" i="9" s="1"/>
  <c r="D47" i="9"/>
  <c r="D46" i="9"/>
  <c r="C43" i="7"/>
  <c r="B43" i="7"/>
  <c r="B44" i="7" s="1"/>
  <c r="B38" i="7"/>
  <c r="B34" i="7"/>
  <c r="B30" i="7"/>
  <c r="B22" i="7"/>
  <c r="B12" i="7"/>
  <c r="M24" i="8"/>
  <c r="I14" i="8"/>
  <c r="C10" i="8"/>
  <c r="G10" i="8" s="1"/>
  <c r="E9" i="8"/>
  <c r="G9" i="8" s="1"/>
  <c r="H9" i="8" s="1"/>
  <c r="E8" i="8"/>
  <c r="G8" i="8" s="1"/>
  <c r="H8" i="8" s="1"/>
  <c r="E7" i="8"/>
  <c r="G7" i="8" s="1"/>
  <c r="H7" i="8" s="1"/>
  <c r="E6" i="8"/>
  <c r="G6" i="8" s="1"/>
  <c r="H6" i="8" s="1"/>
  <c r="E5" i="8"/>
  <c r="G5" i="8" s="1"/>
  <c r="H5" i="8" s="1"/>
  <c r="D48" i="7"/>
  <c r="D8" i="7" s="1"/>
  <c r="D12" i="7" s="1"/>
  <c r="D43" i="7"/>
  <c r="D38" i="7"/>
  <c r="C38" i="7"/>
  <c r="D34" i="7"/>
  <c r="C34" i="7"/>
  <c r="D30" i="7"/>
  <c r="D22" i="7"/>
  <c r="C22" i="7"/>
  <c r="G11" i="7"/>
  <c r="G12" i="7" s="1"/>
  <c r="G14" i="7" s="1"/>
  <c r="G9" i="7"/>
  <c r="I15" i="14" l="1"/>
  <c r="I14" i="14"/>
  <c r="D44" i="7"/>
  <c r="C30" i="7"/>
  <c r="C44" i="7" s="1"/>
  <c r="C12" i="7"/>
  <c r="I10" i="8"/>
  <c r="H10" i="8"/>
</calcChain>
</file>

<file path=xl/sharedStrings.xml><?xml version="1.0" encoding="utf-8"?>
<sst xmlns="http://schemas.openxmlformats.org/spreadsheetml/2006/main" count="402" uniqueCount="133">
  <si>
    <t>The Town Colony Condominium Association, Inc</t>
  </si>
  <si>
    <t>Income:</t>
  </si>
  <si>
    <t>Maintenance Fees</t>
  </si>
  <si>
    <t>Late Fees</t>
  </si>
  <si>
    <t>Total Income</t>
  </si>
  <si>
    <t>Laundry Income</t>
  </si>
  <si>
    <t>Expenses:</t>
  </si>
  <si>
    <t>Admin &amp; Management</t>
  </si>
  <si>
    <t>Accounting Expense</t>
  </si>
  <si>
    <t>Insurance Expense</t>
  </si>
  <si>
    <t>Legal Fees</t>
  </si>
  <si>
    <t>License &amp; Permit</t>
  </si>
  <si>
    <t>Office Supplies</t>
  </si>
  <si>
    <t>Postage</t>
  </si>
  <si>
    <t>Total Admin &amp; Management</t>
  </si>
  <si>
    <t>Management</t>
  </si>
  <si>
    <t>Building Maintenance</t>
  </si>
  <si>
    <t>Pest Control</t>
  </si>
  <si>
    <t>Repairs &amp; Maintenance</t>
  </si>
  <si>
    <t>Supplies</t>
  </si>
  <si>
    <t>Cleaning Personnel</t>
  </si>
  <si>
    <t>Total Building Maintenance</t>
  </si>
  <si>
    <t>Grounds Expense</t>
  </si>
  <si>
    <t>Lawn Service</t>
  </si>
  <si>
    <t>Tree Trimming</t>
  </si>
  <si>
    <t>Total Ground Expense</t>
  </si>
  <si>
    <t>Pool Expense</t>
  </si>
  <si>
    <t>Pool Repairs</t>
  </si>
  <si>
    <t>Total Pool Expense</t>
  </si>
  <si>
    <t>Utility Expense</t>
  </si>
  <si>
    <t>Water Expense</t>
  </si>
  <si>
    <t>Garbage</t>
  </si>
  <si>
    <t>Electric</t>
  </si>
  <si>
    <t>Lift Station</t>
  </si>
  <si>
    <t>Pool Maintenance</t>
  </si>
  <si>
    <t>Total Utility Expense</t>
  </si>
  <si>
    <t>Laundry Room Expense</t>
  </si>
  <si>
    <t>Lift Station Expense</t>
  </si>
  <si>
    <t xml:space="preserve">Total Expenses:  </t>
  </si>
  <si>
    <t>Item</t>
  </si>
  <si>
    <t>Estimated</t>
  </si>
  <si>
    <t>% Per Each</t>
  </si>
  <si>
    <t xml:space="preserve">Money in </t>
  </si>
  <si>
    <t>Years left</t>
  </si>
  <si>
    <t xml:space="preserve">Amount </t>
  </si>
  <si>
    <t>Required</t>
  </si>
  <si>
    <t>Life</t>
  </si>
  <si>
    <t>Cost</t>
  </si>
  <si>
    <t>Reserve</t>
  </si>
  <si>
    <t>Reserves</t>
  </si>
  <si>
    <t xml:space="preserve">for </t>
  </si>
  <si>
    <t>Account</t>
  </si>
  <si>
    <t>Replacement</t>
  </si>
  <si>
    <t>for Life</t>
  </si>
  <si>
    <t>Full Reserves</t>
  </si>
  <si>
    <t>Painting</t>
  </si>
  <si>
    <t>Roof</t>
  </si>
  <si>
    <t>Paving/Maintenance</t>
  </si>
  <si>
    <t>Total</t>
  </si>
  <si>
    <t>Monthly Maintenance Per Unit</t>
  </si>
  <si>
    <t>With Reserves at 100% Per Month</t>
  </si>
  <si>
    <t>Maintenance fees with reserves</t>
  </si>
  <si>
    <t xml:space="preserve">1 Bedroom </t>
  </si>
  <si>
    <t>2 Bedroom</t>
  </si>
  <si>
    <t>1 Bedroom Unit</t>
  </si>
  <si>
    <t>2 Bedroom Unit</t>
  </si>
  <si>
    <t>40 Units Monthly</t>
  </si>
  <si>
    <t>16 Units Monthly</t>
  </si>
  <si>
    <t>Monthly fees per Units</t>
  </si>
  <si>
    <t>Total with Partial</t>
  </si>
  <si>
    <t>Partial Reserves at 25%</t>
  </si>
  <si>
    <t>Pool</t>
  </si>
  <si>
    <t>2021 Budget</t>
  </si>
  <si>
    <t>Budget for 2021</t>
  </si>
  <si>
    <t>January 1, 2021 to December 31, 2021</t>
  </si>
  <si>
    <t>Approved Budget for 2020</t>
  </si>
  <si>
    <t>Estimated for 2020</t>
  </si>
  <si>
    <t>Approvedd Budget for 2021</t>
  </si>
  <si>
    <t>SBA Income</t>
  </si>
  <si>
    <t>Partial Reserves 20%</t>
  </si>
  <si>
    <t>*The Florida Statues require the Board of Directors to adopt a budget with full reserves.  The unit owners at a duly called meeting, may vote against the funding of full reserves or may opt to vote for reserves "less than adequate". (Partial Reserves)</t>
  </si>
  <si>
    <t>AMENDED Reserves 2021</t>
  </si>
  <si>
    <t>Projected Budget for 2022</t>
  </si>
  <si>
    <t>January 1, 2022 to December 31, 2022</t>
  </si>
  <si>
    <t>Approved Budget for 2021</t>
  </si>
  <si>
    <t>Estimated for 2021</t>
  </si>
  <si>
    <t>AMENDED Reserves 2022</t>
  </si>
  <si>
    <t>2022 Budget</t>
  </si>
  <si>
    <t>5 Years</t>
  </si>
  <si>
    <t>56 Units</t>
  </si>
  <si>
    <t>Per Unit for 5 Years wih interest</t>
  </si>
  <si>
    <t>Payments 60 Months</t>
  </si>
  <si>
    <t>Payment in full Upfront no interest</t>
  </si>
  <si>
    <t>% breakdown</t>
  </si>
  <si>
    <t>Monthly</t>
  </si>
  <si>
    <t>16 Units - 2 bedrooms</t>
  </si>
  <si>
    <t>40 Units - 1 bedroom</t>
  </si>
  <si>
    <t>%</t>
  </si>
  <si>
    <t>Breakdown</t>
  </si>
  <si>
    <t>Assessment 2022 for concrete, paint and lift stations</t>
  </si>
  <si>
    <t>$184000 over 5 years</t>
  </si>
  <si>
    <t xml:space="preserve"> Interest $33750</t>
  </si>
  <si>
    <t>4.5 Interest 5 Years</t>
  </si>
  <si>
    <t xml:space="preserve">Budget was approved for 2022 which is being retro back to January 2022.  All Owners are required to pay the difference for the months of January and February 2022.  </t>
  </si>
  <si>
    <t>204000 over 5 years</t>
  </si>
  <si>
    <t>Reserves 2023</t>
  </si>
  <si>
    <t>2023 Budget</t>
  </si>
  <si>
    <t>Estimated for 2022</t>
  </si>
  <si>
    <t>Approved Budget for 2022</t>
  </si>
  <si>
    <t>Projected Budget for 2023</t>
  </si>
  <si>
    <t>Concrete Repairs</t>
  </si>
  <si>
    <t>January 1, 2023 to December 31, 2023</t>
  </si>
  <si>
    <t>Amended Budget for 2023</t>
  </si>
  <si>
    <t>30% Difference of bedroom size</t>
  </si>
  <si>
    <t>Partial Reserves 16%</t>
  </si>
  <si>
    <t>Partial Reserves at 16%</t>
  </si>
  <si>
    <t>Reserves - Partial</t>
  </si>
  <si>
    <t>Assessment</t>
  </si>
  <si>
    <t>Loan Repayment</t>
  </si>
  <si>
    <t>Proposed Budget for 2024</t>
  </si>
  <si>
    <t>January 1, 2024 to December 31, 2024</t>
  </si>
  <si>
    <t>Approved Budget for 2023</t>
  </si>
  <si>
    <t>Estimated for 2023</t>
  </si>
  <si>
    <t>Projected Budget for 2024</t>
  </si>
  <si>
    <t>Reserves 2024</t>
  </si>
  <si>
    <t>Painting and Concrete</t>
  </si>
  <si>
    <t>2024 Budget</t>
  </si>
  <si>
    <t>One time payment</t>
  </si>
  <si>
    <t>6 equal payments</t>
  </si>
  <si>
    <t>Assessment from January 1, 2024 to June 2024</t>
  </si>
  <si>
    <t>120000 August 2024 to January 2025</t>
  </si>
  <si>
    <t>80000 February 2025 to July 2025</t>
  </si>
  <si>
    <t>8 equal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</si>
</sst>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5" borderId="0" applyNumberFormat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0" fontId="1" fillId="0" borderId="3" xfId="0" applyNumberFormat="1" applyFont="1" applyBorder="1" applyAlignment="1">
      <alignment horizontal="center"/>
    </xf>
    <xf numFmtId="8" fontId="0" fillId="0" borderId="0" xfId="0" applyNumberFormat="1"/>
    <xf numFmtId="164" fontId="0" fillId="0" borderId="0" xfId="0" applyNumberFormat="1"/>
    <xf numFmtId="0" fontId="3" fillId="0" borderId="0" xfId="0" applyFont="1"/>
    <xf numFmtId="0" fontId="2" fillId="0" borderId="3" xfId="0" applyFont="1" applyBorder="1"/>
    <xf numFmtId="1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8" fontId="3" fillId="0" borderId="3" xfId="0" applyNumberFormat="1" applyFont="1" applyBorder="1"/>
    <xf numFmtId="10" fontId="3" fillId="0" borderId="3" xfId="0" applyNumberFormat="1" applyFont="1" applyBorder="1" applyAlignment="1">
      <alignment horizontal="center"/>
    </xf>
    <xf numFmtId="8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8" fontId="2" fillId="0" borderId="3" xfId="0" applyNumberFormat="1" applyFont="1" applyBorder="1"/>
    <xf numFmtId="10" fontId="2" fillId="0" borderId="3" xfId="0" applyNumberFormat="1" applyFont="1" applyBorder="1" applyAlignment="1">
      <alignment horizontal="center"/>
    </xf>
    <xf numFmtId="8" fontId="2" fillId="0" borderId="3" xfId="0" applyNumberFormat="1" applyFont="1" applyBorder="1" applyAlignment="1">
      <alignment horizontal="center"/>
    </xf>
    <xf numFmtId="6" fontId="3" fillId="0" borderId="3" xfId="0" applyNumberFormat="1" applyFont="1" applyBorder="1" applyAlignment="1">
      <alignment horizontal="center"/>
    </xf>
    <xf numFmtId="8" fontId="2" fillId="0" borderId="9" xfId="0" applyNumberFormat="1" applyFont="1" applyBorder="1" applyAlignment="1">
      <alignment vertical="center" wrapText="1"/>
    </xf>
    <xf numFmtId="8" fontId="2" fillId="0" borderId="8" xfId="0" applyNumberFormat="1" applyFont="1" applyBorder="1" applyAlignment="1">
      <alignment vertical="center" wrapText="1"/>
    </xf>
    <xf numFmtId="0" fontId="3" fillId="0" borderId="3" xfId="0" applyFont="1" applyBorder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8" fontId="6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8" fontId="2" fillId="0" borderId="3" xfId="0" applyNumberFormat="1" applyFont="1" applyBorder="1" applyAlignment="1">
      <alignment horizontal="center" vertical="center"/>
    </xf>
    <xf numFmtId="6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8" fontId="2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wrapText="1"/>
    </xf>
    <xf numFmtId="164" fontId="5" fillId="0" borderId="3" xfId="0" applyNumberFormat="1" applyFont="1" applyBorder="1" applyAlignment="1">
      <alignment horizontal="center" wrapText="1"/>
    </xf>
    <xf numFmtId="0" fontId="2" fillId="0" borderId="0" xfId="0" applyFont="1"/>
    <xf numFmtId="0" fontId="7" fillId="0" borderId="0" xfId="0" applyFont="1"/>
    <xf numFmtId="164" fontId="7" fillId="0" borderId="0" xfId="0" applyNumberFormat="1" applyFont="1"/>
    <xf numFmtId="38" fontId="2" fillId="0" borderId="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38" fontId="2" fillId="0" borderId="14" xfId="0" applyNumberFormat="1" applyFont="1" applyBorder="1" applyAlignment="1">
      <alignment horizontal="center" vertical="center" wrapText="1"/>
    </xf>
    <xf numFmtId="6" fontId="2" fillId="0" borderId="3" xfId="0" applyNumberFormat="1" applyFont="1" applyBorder="1" applyAlignment="1">
      <alignment horizontal="center" vertical="center"/>
    </xf>
    <xf numFmtId="6" fontId="2" fillId="0" borderId="3" xfId="0" applyNumberFormat="1" applyFont="1" applyBorder="1" applyAlignment="1">
      <alignment horizontal="center" vertical="center" wrapText="1"/>
    </xf>
    <xf numFmtId="6" fontId="0" fillId="0" borderId="0" xfId="0" applyNumberFormat="1"/>
    <xf numFmtId="8" fontId="2" fillId="4" borderId="3" xfId="0" applyNumberFormat="1" applyFont="1" applyFill="1" applyBorder="1" applyAlignment="1">
      <alignment horizontal="center" vertical="center"/>
    </xf>
    <xf numFmtId="6" fontId="3" fillId="4" borderId="3" xfId="0" applyNumberFormat="1" applyFont="1" applyFill="1" applyBorder="1" applyAlignment="1">
      <alignment horizontal="center"/>
    </xf>
    <xf numFmtId="165" fontId="3" fillId="4" borderId="3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9" fillId="0" borderId="3" xfId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8" fontId="2" fillId="0" borderId="7" xfId="0" applyNumberFormat="1" applyFont="1" applyBorder="1" applyAlignment="1">
      <alignment horizontal="center" vertical="center"/>
    </xf>
    <xf numFmtId="8" fontId="2" fillId="0" borderId="8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8" fontId="2" fillId="0" borderId="7" xfId="0" applyNumberFormat="1" applyFont="1" applyBorder="1" applyAlignment="1">
      <alignment horizontal="center" vertical="center" wrapText="1"/>
    </xf>
    <xf numFmtId="8" fontId="2" fillId="0" borderId="9" xfId="0" applyNumberFormat="1" applyFont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8" fontId="2" fillId="0" borderId="3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/>
    </xf>
    <xf numFmtId="8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 wrapText="1"/>
    </xf>
    <xf numFmtId="164" fontId="5" fillId="0" borderId="8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8" fontId="2" fillId="0" borderId="8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8" fontId="1" fillId="0" borderId="14" xfId="0" applyNumberFormat="1" applyFont="1" applyBorder="1" applyAlignment="1">
      <alignment horizontal="center" vertical="center"/>
    </xf>
    <xf numFmtId="8" fontId="1" fillId="0" borderId="15" xfId="0" applyNumberFormat="1" applyFont="1" applyBorder="1" applyAlignment="1">
      <alignment horizontal="center" vertical="center"/>
    </xf>
    <xf numFmtId="6" fontId="1" fillId="0" borderId="7" xfId="0" applyNumberFormat="1" applyFont="1" applyBorder="1" applyAlignment="1">
      <alignment horizontal="center"/>
    </xf>
    <xf numFmtId="6" fontId="1" fillId="0" borderId="9" xfId="0" applyNumberFormat="1" applyFont="1" applyBorder="1" applyAlignment="1">
      <alignment horizontal="center"/>
    </xf>
    <xf numFmtId="6" fontId="1" fillId="0" borderId="8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</cellXfs>
  <cellStyles count="2">
    <cellStyle name="40% - Accent4" xfId="1" builtinId="4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AEFE-6142-7E4C-BC6B-5C512C2AD2BA}">
  <dimension ref="A1:G48"/>
  <sheetViews>
    <sheetView view="pageBreakPreview" topLeftCell="A27" zoomScale="110" zoomScaleNormal="100" zoomScaleSheetLayoutView="110" workbookViewId="0">
      <selection activeCell="C63" sqref="C63"/>
    </sheetView>
  </sheetViews>
  <sheetFormatPr defaultColWidth="8.77734375" defaultRowHeight="14.4" x14ac:dyDescent="0.3"/>
  <cols>
    <col min="1" max="1" width="25.44140625" customWidth="1"/>
    <col min="2" max="2" width="29.5546875" style="1" bestFit="1" customWidth="1"/>
    <col min="3" max="3" width="24.77734375" style="1" bestFit="1" customWidth="1"/>
    <col min="4" max="4" width="34.44140625" style="1" bestFit="1" customWidth="1"/>
  </cols>
  <sheetData>
    <row r="1" spans="1:7" ht="18" x14ac:dyDescent="0.35">
      <c r="A1" s="61" t="s">
        <v>0</v>
      </c>
      <c r="B1" s="61"/>
      <c r="C1" s="61"/>
      <c r="D1" s="61"/>
    </row>
    <row r="2" spans="1:7" ht="18" x14ac:dyDescent="0.35">
      <c r="A2" s="61" t="s">
        <v>73</v>
      </c>
      <c r="B2" s="61"/>
      <c r="C2" s="61"/>
      <c r="D2" s="61"/>
    </row>
    <row r="3" spans="1:7" ht="18" x14ac:dyDescent="0.35">
      <c r="A3" s="61" t="s">
        <v>74</v>
      </c>
      <c r="B3" s="61"/>
      <c r="C3" s="61"/>
      <c r="D3" s="61"/>
    </row>
    <row r="4" spans="1:7" ht="18" x14ac:dyDescent="0.35">
      <c r="A4" s="7"/>
      <c r="B4" s="23"/>
      <c r="C4" s="23"/>
      <c r="D4" s="23"/>
    </row>
    <row r="5" spans="1:7" ht="22.5" customHeight="1" x14ac:dyDescent="0.3">
      <c r="B5" s="62" t="s">
        <v>75</v>
      </c>
      <c r="C5" s="62" t="s">
        <v>76</v>
      </c>
      <c r="D5" s="62" t="s">
        <v>77</v>
      </c>
    </row>
    <row r="6" spans="1:7" ht="25.5" customHeight="1" x14ac:dyDescent="0.3">
      <c r="B6" s="62"/>
      <c r="C6" s="62"/>
      <c r="D6" s="62"/>
    </row>
    <row r="7" spans="1:7" x14ac:dyDescent="0.3">
      <c r="A7" s="2" t="s">
        <v>1</v>
      </c>
    </row>
    <row r="8" spans="1:7" ht="18" x14ac:dyDescent="0.35">
      <c r="A8" t="s">
        <v>2</v>
      </c>
      <c r="B8" s="24">
        <v>180000</v>
      </c>
      <c r="C8" s="24">
        <v>190000</v>
      </c>
      <c r="D8" s="24">
        <f>D47+D48</f>
        <v>194400</v>
      </c>
    </row>
    <row r="9" spans="1:7" ht="18" x14ac:dyDescent="0.35">
      <c r="A9" t="s">
        <v>3</v>
      </c>
      <c r="B9" s="24">
        <v>250</v>
      </c>
      <c r="C9" s="24">
        <v>270</v>
      </c>
      <c r="D9" s="24">
        <v>250</v>
      </c>
      <c r="G9">
        <f>16*260</f>
        <v>4160</v>
      </c>
    </row>
    <row r="10" spans="1:7" ht="18" x14ac:dyDescent="0.35">
      <c r="A10" t="s">
        <v>78</v>
      </c>
      <c r="B10" s="24">
        <v>0</v>
      </c>
      <c r="C10" s="24">
        <v>1000</v>
      </c>
      <c r="D10" s="24">
        <v>0</v>
      </c>
    </row>
    <row r="11" spans="1:7" ht="18.600000000000001" thickBot="1" x14ac:dyDescent="0.4">
      <c r="A11" t="s">
        <v>5</v>
      </c>
      <c r="B11" s="25">
        <v>5000</v>
      </c>
      <c r="C11" s="25">
        <v>5500</v>
      </c>
      <c r="D11" s="25">
        <v>5000</v>
      </c>
      <c r="G11">
        <f>SUM(40*255)</f>
        <v>10200</v>
      </c>
    </row>
    <row r="12" spans="1:7" ht="18" x14ac:dyDescent="0.35">
      <c r="A12" s="2" t="s">
        <v>4</v>
      </c>
      <c r="B12" s="26">
        <f>SUM(B8:B11)</f>
        <v>185250</v>
      </c>
      <c r="C12" s="26">
        <f>SUM(C8:C11)</f>
        <v>196770</v>
      </c>
      <c r="D12" s="26">
        <f>SUM(D8:D11)</f>
        <v>199650</v>
      </c>
      <c r="G12">
        <f>SUM(G9:G11)</f>
        <v>14360</v>
      </c>
    </row>
    <row r="13" spans="1:7" ht="18" x14ac:dyDescent="0.35">
      <c r="A13" s="2" t="s">
        <v>6</v>
      </c>
      <c r="B13" s="24"/>
      <c r="C13" s="24"/>
      <c r="D13" s="24"/>
    </row>
    <row r="14" spans="1:7" ht="18" x14ac:dyDescent="0.35">
      <c r="A14" s="2" t="s">
        <v>7</v>
      </c>
      <c r="B14" s="24"/>
      <c r="C14" s="24"/>
      <c r="D14" s="24"/>
      <c r="G14">
        <f>SUM(12*G12)</f>
        <v>172320</v>
      </c>
    </row>
    <row r="15" spans="1:7" ht="18" x14ac:dyDescent="0.35">
      <c r="A15" t="s">
        <v>8</v>
      </c>
      <c r="B15" s="24">
        <v>300</v>
      </c>
      <c r="C15" s="24">
        <v>300</v>
      </c>
      <c r="D15" s="24">
        <v>300</v>
      </c>
    </row>
    <row r="16" spans="1:7" ht="18" x14ac:dyDescent="0.35">
      <c r="A16" t="s">
        <v>9</v>
      </c>
      <c r="B16" s="24">
        <v>61000</v>
      </c>
      <c r="C16" s="24">
        <v>65000</v>
      </c>
      <c r="D16" s="24">
        <v>64000</v>
      </c>
    </row>
    <row r="17" spans="1:4" ht="18" x14ac:dyDescent="0.35">
      <c r="A17" t="s">
        <v>10</v>
      </c>
      <c r="B17" s="24">
        <v>3500</v>
      </c>
      <c r="C17" s="24">
        <v>1500</v>
      </c>
      <c r="D17" s="24">
        <v>1500</v>
      </c>
    </row>
    <row r="18" spans="1:4" ht="18" x14ac:dyDescent="0.35">
      <c r="A18" t="s">
        <v>11</v>
      </c>
      <c r="B18" s="24">
        <v>600</v>
      </c>
      <c r="C18" s="24">
        <v>300</v>
      </c>
      <c r="D18" s="24">
        <v>300</v>
      </c>
    </row>
    <row r="19" spans="1:4" ht="18" x14ac:dyDescent="0.35">
      <c r="A19" t="s">
        <v>12</v>
      </c>
      <c r="B19" s="24">
        <v>1900</v>
      </c>
      <c r="C19" s="24">
        <v>1200</v>
      </c>
      <c r="D19" s="24">
        <v>1300</v>
      </c>
    </row>
    <row r="20" spans="1:4" ht="18" x14ac:dyDescent="0.35">
      <c r="A20" t="s">
        <v>13</v>
      </c>
      <c r="B20" s="24">
        <v>200</v>
      </c>
      <c r="C20" s="24">
        <v>200</v>
      </c>
      <c r="D20" s="24">
        <v>200</v>
      </c>
    </row>
    <row r="21" spans="1:4" ht="18.600000000000001" thickBot="1" x14ac:dyDescent="0.4">
      <c r="A21" t="s">
        <v>15</v>
      </c>
      <c r="B21" s="25">
        <v>7800</v>
      </c>
      <c r="C21" s="25">
        <f>650*12</f>
        <v>7800</v>
      </c>
      <c r="D21" s="25">
        <v>7800</v>
      </c>
    </row>
    <row r="22" spans="1:4" ht="18" x14ac:dyDescent="0.35">
      <c r="A22" s="2" t="s">
        <v>14</v>
      </c>
      <c r="B22" s="26">
        <f>SUM(B15:B21)</f>
        <v>75300</v>
      </c>
      <c r="C22" s="26">
        <f>SUM(C15:C21)</f>
        <v>76300</v>
      </c>
      <c r="D22" s="26">
        <f>SUM(D15:D21)</f>
        <v>75400</v>
      </c>
    </row>
    <row r="23" spans="1:4" ht="18" x14ac:dyDescent="0.35">
      <c r="A23" s="2" t="s">
        <v>16</v>
      </c>
      <c r="B23" s="24"/>
      <c r="C23" s="24"/>
      <c r="D23" s="24"/>
    </row>
    <row r="24" spans="1:4" ht="18" x14ac:dyDescent="0.35">
      <c r="A24" t="s">
        <v>20</v>
      </c>
      <c r="B24" s="24">
        <v>12950</v>
      </c>
      <c r="C24" s="24">
        <f>1080*12</f>
        <v>12960</v>
      </c>
      <c r="D24" s="24">
        <v>12950</v>
      </c>
    </row>
    <row r="25" spans="1:4" ht="18" x14ac:dyDescent="0.35">
      <c r="A25" t="s">
        <v>17</v>
      </c>
      <c r="B25" s="24">
        <v>5500</v>
      </c>
      <c r="C25" s="24">
        <v>3800</v>
      </c>
      <c r="D25" s="24">
        <v>4000</v>
      </c>
    </row>
    <row r="26" spans="1:4" ht="18" x14ac:dyDescent="0.35">
      <c r="A26" t="s">
        <v>18</v>
      </c>
      <c r="B26" s="24">
        <v>12000</v>
      </c>
      <c r="C26" s="24">
        <v>13000</v>
      </c>
      <c r="D26" s="24">
        <v>12000</v>
      </c>
    </row>
    <row r="27" spans="1:4" ht="18" x14ac:dyDescent="0.35">
      <c r="A27" t="s">
        <v>36</v>
      </c>
      <c r="B27" s="24">
        <v>1500</v>
      </c>
      <c r="C27" s="24">
        <v>1200</v>
      </c>
      <c r="D27" s="24">
        <v>1300</v>
      </c>
    </row>
    <row r="28" spans="1:4" ht="18" x14ac:dyDescent="0.35">
      <c r="A28" t="s">
        <v>37</v>
      </c>
      <c r="B28" s="24">
        <v>6000</v>
      </c>
      <c r="C28" s="24">
        <v>7800</v>
      </c>
      <c r="D28" s="24">
        <v>7800</v>
      </c>
    </row>
    <row r="29" spans="1:4" ht="18.600000000000001" thickBot="1" x14ac:dyDescent="0.4">
      <c r="A29" t="s">
        <v>19</v>
      </c>
      <c r="B29" s="25">
        <v>500</v>
      </c>
      <c r="C29" s="25">
        <v>0</v>
      </c>
      <c r="D29" s="25">
        <v>500</v>
      </c>
    </row>
    <row r="30" spans="1:4" ht="18" x14ac:dyDescent="0.35">
      <c r="A30" s="2" t="s">
        <v>21</v>
      </c>
      <c r="B30" s="26">
        <f>SUM(B24:B29)</f>
        <v>38450</v>
      </c>
      <c r="C30" s="26">
        <f>SUM(C24:C29)</f>
        <v>38760</v>
      </c>
      <c r="D30" s="26">
        <f>SUM(D24:D29)</f>
        <v>38550</v>
      </c>
    </row>
    <row r="31" spans="1:4" ht="18" x14ac:dyDescent="0.35">
      <c r="A31" s="2" t="s">
        <v>22</v>
      </c>
      <c r="B31" s="24"/>
      <c r="C31" s="24"/>
      <c r="D31" s="24"/>
    </row>
    <row r="32" spans="1:4" ht="18" x14ac:dyDescent="0.35">
      <c r="A32" t="s">
        <v>23</v>
      </c>
      <c r="B32" s="24">
        <v>4800</v>
      </c>
      <c r="C32" s="24">
        <v>6000</v>
      </c>
      <c r="D32" s="24">
        <v>6000</v>
      </c>
    </row>
    <row r="33" spans="1:4" ht="18.600000000000001" thickBot="1" x14ac:dyDescent="0.4">
      <c r="A33" t="s">
        <v>24</v>
      </c>
      <c r="B33" s="25">
        <v>700</v>
      </c>
      <c r="C33" s="25">
        <v>500</v>
      </c>
      <c r="D33" s="25">
        <v>500</v>
      </c>
    </row>
    <row r="34" spans="1:4" ht="18" x14ac:dyDescent="0.35">
      <c r="A34" s="2" t="s">
        <v>25</v>
      </c>
      <c r="B34" s="26">
        <f>SUM(B32:B33)</f>
        <v>5500</v>
      </c>
      <c r="C34" s="26">
        <f>SUM(C32:C33)</f>
        <v>6500</v>
      </c>
      <c r="D34" s="26">
        <f>SUM(D32:D33)</f>
        <v>6500</v>
      </c>
    </row>
    <row r="35" spans="1:4" ht="18" x14ac:dyDescent="0.35">
      <c r="A35" s="2" t="s">
        <v>26</v>
      </c>
      <c r="B35" s="24"/>
      <c r="C35" s="24"/>
      <c r="D35" s="24"/>
    </row>
    <row r="36" spans="1:4" ht="18" x14ac:dyDescent="0.35">
      <c r="A36" t="s">
        <v>34</v>
      </c>
      <c r="B36" s="24">
        <v>3500</v>
      </c>
      <c r="C36" s="24">
        <v>4200</v>
      </c>
      <c r="D36" s="24">
        <v>4200</v>
      </c>
    </row>
    <row r="37" spans="1:4" ht="18.600000000000001" thickBot="1" x14ac:dyDescent="0.4">
      <c r="A37" t="s">
        <v>27</v>
      </c>
      <c r="B37" s="25">
        <v>3500</v>
      </c>
      <c r="C37" s="25">
        <v>1200</v>
      </c>
      <c r="D37" s="25">
        <v>2000</v>
      </c>
    </row>
    <row r="38" spans="1:4" ht="18" x14ac:dyDescent="0.35">
      <c r="A38" s="2" t="s">
        <v>28</v>
      </c>
      <c r="B38" s="26">
        <f>SUM(B36:B37)</f>
        <v>7000</v>
      </c>
      <c r="C38" s="26">
        <f>SUM(C36:C37)</f>
        <v>5400</v>
      </c>
      <c r="D38" s="26">
        <f>SUM(D36:D37)</f>
        <v>6200</v>
      </c>
    </row>
    <row r="39" spans="1:4" ht="18" x14ac:dyDescent="0.35">
      <c r="A39" s="2" t="s">
        <v>29</v>
      </c>
      <c r="B39" s="24"/>
      <c r="C39" s="24"/>
      <c r="D39" s="24"/>
    </row>
    <row r="40" spans="1:4" ht="18" x14ac:dyDescent="0.35">
      <c r="A40" t="s">
        <v>30</v>
      </c>
      <c r="B40" s="24">
        <v>30000</v>
      </c>
      <c r="C40" s="24">
        <v>48000</v>
      </c>
      <c r="D40" s="24">
        <v>35000</v>
      </c>
    </row>
    <row r="41" spans="1:4" ht="18" x14ac:dyDescent="0.35">
      <c r="A41" t="s">
        <v>31</v>
      </c>
      <c r="B41" s="24">
        <v>24000</v>
      </c>
      <c r="C41" s="24">
        <v>33000</v>
      </c>
      <c r="D41" s="24">
        <v>32700</v>
      </c>
    </row>
    <row r="42" spans="1:4" ht="18.600000000000001" thickBot="1" x14ac:dyDescent="0.4">
      <c r="A42" t="s">
        <v>32</v>
      </c>
      <c r="B42" s="25">
        <v>5000</v>
      </c>
      <c r="C42" s="25">
        <v>5300</v>
      </c>
      <c r="D42" s="25">
        <v>5300</v>
      </c>
    </row>
    <row r="43" spans="1:4" ht="18.600000000000001" thickBot="1" x14ac:dyDescent="0.4">
      <c r="A43" s="2" t="s">
        <v>35</v>
      </c>
      <c r="B43" s="27">
        <f>SUM(B40:B42)</f>
        <v>59000</v>
      </c>
      <c r="C43" s="27">
        <f>SUM(C40:C42)</f>
        <v>86300</v>
      </c>
      <c r="D43" s="27">
        <f>SUM(D40:D42)</f>
        <v>73000</v>
      </c>
    </row>
    <row r="44" spans="1:4" ht="18.600000000000001" thickTop="1" x14ac:dyDescent="0.35">
      <c r="A44" t="s">
        <v>38</v>
      </c>
      <c r="B44" s="26">
        <f>SUM(B43+B38+B34+B30+B22)</f>
        <v>185250</v>
      </c>
      <c r="C44" s="26">
        <f>SUM(C43+C38+C34+C30+C22)</f>
        <v>213260</v>
      </c>
      <c r="D44" s="26">
        <f>SUM(D43+D38+D34+D30+D22)</f>
        <v>199650</v>
      </c>
    </row>
    <row r="45" spans="1:4" x14ac:dyDescent="0.3">
      <c r="B45" s="3"/>
      <c r="C45" s="3"/>
      <c r="D45" s="3"/>
    </row>
    <row r="46" spans="1:4" ht="21" x14ac:dyDescent="0.4">
      <c r="A46" s="58" t="s">
        <v>68</v>
      </c>
      <c r="B46" s="59"/>
      <c r="C46" s="59"/>
      <c r="D46" s="60"/>
    </row>
    <row r="47" spans="1:4" ht="21" x14ac:dyDescent="0.4">
      <c r="A47" s="28" t="s">
        <v>64</v>
      </c>
      <c r="B47" s="29" t="s">
        <v>66</v>
      </c>
      <c r="C47" s="30">
        <v>270</v>
      </c>
      <c r="D47" s="31">
        <f>40*295*12</f>
        <v>141600</v>
      </c>
    </row>
    <row r="48" spans="1:4" ht="21" x14ac:dyDescent="0.4">
      <c r="A48" s="28" t="s">
        <v>65</v>
      </c>
      <c r="B48" s="29" t="s">
        <v>67</v>
      </c>
      <c r="C48" s="30">
        <v>275</v>
      </c>
      <c r="D48" s="31">
        <f>16*12*C48</f>
        <v>52800</v>
      </c>
    </row>
  </sheetData>
  <mergeCells count="7">
    <mergeCell ref="A46:D46"/>
    <mergeCell ref="A1:D1"/>
    <mergeCell ref="A2:D2"/>
    <mergeCell ref="A3:D3"/>
    <mergeCell ref="B5:B6"/>
    <mergeCell ref="C5:C6"/>
    <mergeCell ref="D5:D6"/>
  </mergeCells>
  <pageMargins left="0.7" right="0.7" top="0.75" bottom="0.75" header="0.3" footer="0.3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87B0A-FD4B-4B95-A88B-48FDD7E8789C}">
  <dimension ref="A1:J14"/>
  <sheetViews>
    <sheetView topLeftCell="A6" zoomScale="136" zoomScaleNormal="136" workbookViewId="0">
      <selection activeCell="G9" sqref="A6:H9"/>
    </sheetView>
  </sheetViews>
  <sheetFormatPr defaultRowHeight="42.75" customHeight="1" x14ac:dyDescent="0.3"/>
  <cols>
    <col min="1" max="1" width="25.77734375" customWidth="1"/>
    <col min="2" max="2" width="22.5546875" customWidth="1"/>
    <col min="4" max="4" width="11" bestFit="1" customWidth="1"/>
    <col min="6" max="6" width="11" customWidth="1"/>
    <col min="7" max="7" width="20.77734375" customWidth="1"/>
    <col min="8" max="8" width="11.5546875" customWidth="1"/>
  </cols>
  <sheetData>
    <row r="1" spans="1:10" ht="42.75" customHeight="1" x14ac:dyDescent="0.3">
      <c r="A1" s="114">
        <v>200000</v>
      </c>
      <c r="B1" s="115"/>
      <c r="C1" s="116"/>
      <c r="D1" s="117" t="s">
        <v>89</v>
      </c>
      <c r="E1" s="118"/>
      <c r="F1" s="118"/>
      <c r="G1" s="118"/>
      <c r="H1" s="119"/>
    </row>
    <row r="2" spans="1:10" ht="42.75" customHeight="1" x14ac:dyDescent="0.3">
      <c r="A2" s="34"/>
      <c r="B2" s="99"/>
      <c r="C2" s="99"/>
      <c r="D2" s="34" t="s">
        <v>98</v>
      </c>
      <c r="E2" s="99" t="s">
        <v>127</v>
      </c>
      <c r="F2" s="99"/>
      <c r="G2" s="99" t="s">
        <v>128</v>
      </c>
      <c r="H2" s="99"/>
      <c r="J2">
        <f>J4+160000</f>
        <v>204000</v>
      </c>
    </row>
    <row r="3" spans="1:10" ht="42.75" customHeight="1" x14ac:dyDescent="0.3">
      <c r="A3" s="34" t="s">
        <v>96</v>
      </c>
      <c r="B3" s="102">
        <f>(200000*D3)/40</f>
        <v>3471.3599999999997</v>
      </c>
      <c r="C3" s="102"/>
      <c r="D3" s="34">
        <v>0.694272</v>
      </c>
      <c r="E3" s="97">
        <f>B3</f>
        <v>3471.3599999999997</v>
      </c>
      <c r="F3" s="97"/>
      <c r="G3" s="102">
        <f>E3/6</f>
        <v>578.55999999999995</v>
      </c>
      <c r="H3" s="102"/>
      <c r="J3">
        <f>160000*0.055</f>
        <v>8800</v>
      </c>
    </row>
    <row r="4" spans="1:10" ht="42.75" customHeight="1" x14ac:dyDescent="0.3">
      <c r="A4" s="34" t="s">
        <v>95</v>
      </c>
      <c r="B4" s="100">
        <f>(200000*D4)/16</f>
        <v>3821.6</v>
      </c>
      <c r="C4" s="101"/>
      <c r="D4" s="34">
        <v>0.305728</v>
      </c>
      <c r="E4" s="97">
        <f>B4</f>
        <v>3821.6</v>
      </c>
      <c r="F4" s="97"/>
      <c r="G4" s="98">
        <f>E4/6</f>
        <v>636.93333333333328</v>
      </c>
      <c r="H4" s="99"/>
      <c r="J4">
        <f>J3*5</f>
        <v>44000</v>
      </c>
    </row>
    <row r="6" spans="1:10" ht="42.75" customHeight="1" x14ac:dyDescent="0.3">
      <c r="A6" s="114" t="s">
        <v>130</v>
      </c>
      <c r="B6" s="115"/>
      <c r="C6" s="116"/>
      <c r="D6" s="117" t="s">
        <v>89</v>
      </c>
      <c r="E6" s="118"/>
      <c r="F6" s="118"/>
      <c r="G6" s="118"/>
      <c r="H6" s="119"/>
    </row>
    <row r="7" spans="1:10" ht="42.75" customHeight="1" x14ac:dyDescent="0.3">
      <c r="A7" s="34"/>
      <c r="B7" s="99"/>
      <c r="C7" s="99"/>
      <c r="D7" s="34" t="s">
        <v>98</v>
      </c>
      <c r="E7" s="99" t="s">
        <v>127</v>
      </c>
      <c r="F7" s="99"/>
      <c r="G7" s="99" t="s">
        <v>132</v>
      </c>
      <c r="H7" s="99"/>
    </row>
    <row r="8" spans="1:10" ht="42.75" customHeight="1" x14ac:dyDescent="0.3">
      <c r="A8" s="34" t="s">
        <v>96</v>
      </c>
      <c r="B8" s="102">
        <f>(120000*D8)/40</f>
        <v>2082.8159999999998</v>
      </c>
      <c r="C8" s="102"/>
      <c r="D8" s="34">
        <v>0.694272</v>
      </c>
      <c r="E8" s="97">
        <f>B8</f>
        <v>2082.8159999999998</v>
      </c>
      <c r="F8" s="97"/>
      <c r="G8" s="120">
        <f>E8/8</f>
        <v>260.35199999999998</v>
      </c>
      <c r="H8" s="120"/>
    </row>
    <row r="9" spans="1:10" ht="42.75" customHeight="1" x14ac:dyDescent="0.3">
      <c r="A9" s="34" t="s">
        <v>95</v>
      </c>
      <c r="B9" s="100">
        <f>(120000*D9)/16</f>
        <v>2292.96</v>
      </c>
      <c r="C9" s="101"/>
      <c r="D9" s="34">
        <v>0.305728</v>
      </c>
      <c r="E9" s="97">
        <f>B9</f>
        <v>2292.96</v>
      </c>
      <c r="F9" s="97"/>
      <c r="G9" s="120">
        <f>E9/8</f>
        <v>286.62</v>
      </c>
      <c r="H9" s="120"/>
    </row>
    <row r="11" spans="1:10" ht="42.75" customHeight="1" x14ac:dyDescent="0.3">
      <c r="A11" s="114" t="s">
        <v>131</v>
      </c>
      <c r="B11" s="115"/>
      <c r="C11" s="116"/>
      <c r="D11" s="117" t="s">
        <v>89</v>
      </c>
      <c r="E11" s="118"/>
      <c r="F11" s="118"/>
      <c r="G11" s="118"/>
      <c r="H11" s="119"/>
    </row>
    <row r="12" spans="1:10" ht="42.75" customHeight="1" x14ac:dyDescent="0.3">
      <c r="A12" s="34"/>
      <c r="B12" s="99"/>
      <c r="C12" s="99"/>
      <c r="D12" s="34" t="s">
        <v>98</v>
      </c>
      <c r="E12" s="99" t="s">
        <v>127</v>
      </c>
      <c r="F12" s="99"/>
      <c r="G12" s="99" t="s">
        <v>128</v>
      </c>
      <c r="H12" s="99"/>
    </row>
    <row r="13" spans="1:10" ht="42.75" customHeight="1" x14ac:dyDescent="0.3">
      <c r="A13" s="34" t="s">
        <v>96</v>
      </c>
      <c r="B13" s="102">
        <f>(80000*D13)/40</f>
        <v>1388.5440000000001</v>
      </c>
      <c r="C13" s="102"/>
      <c r="D13" s="34">
        <v>0.694272</v>
      </c>
      <c r="E13" s="97">
        <f>B13</f>
        <v>1388.5440000000001</v>
      </c>
      <c r="F13" s="97"/>
      <c r="G13" s="102">
        <f>E13/6</f>
        <v>231.42400000000001</v>
      </c>
      <c r="H13" s="102"/>
    </row>
    <row r="14" spans="1:10" ht="42.75" customHeight="1" x14ac:dyDescent="0.3">
      <c r="A14" s="34" t="s">
        <v>95</v>
      </c>
      <c r="B14" s="100">
        <f>(80000*D14)/16</f>
        <v>1528.64</v>
      </c>
      <c r="C14" s="101"/>
      <c r="D14" s="34">
        <v>0.305728</v>
      </c>
      <c r="E14" s="97">
        <f>B14</f>
        <v>1528.64</v>
      </c>
      <c r="F14" s="97"/>
      <c r="G14" s="98">
        <f>E14/6</f>
        <v>254.77333333333334</v>
      </c>
      <c r="H14" s="99"/>
    </row>
  </sheetData>
  <mergeCells count="33">
    <mergeCell ref="B4:C4"/>
    <mergeCell ref="E4:F4"/>
    <mergeCell ref="G4:H4"/>
    <mergeCell ref="A1:C1"/>
    <mergeCell ref="D1:H1"/>
    <mergeCell ref="B2:C2"/>
    <mergeCell ref="E2:F2"/>
    <mergeCell ref="G2:H2"/>
    <mergeCell ref="B3:C3"/>
    <mergeCell ref="E3:F3"/>
    <mergeCell ref="G3:H3"/>
    <mergeCell ref="A6:C6"/>
    <mergeCell ref="D6:H6"/>
    <mergeCell ref="B7:C7"/>
    <mergeCell ref="E7:F7"/>
    <mergeCell ref="G7:H7"/>
    <mergeCell ref="B8:C8"/>
    <mergeCell ref="E8:F8"/>
    <mergeCell ref="G8:H8"/>
    <mergeCell ref="B9:C9"/>
    <mergeCell ref="E9:F9"/>
    <mergeCell ref="G9:H9"/>
    <mergeCell ref="A11:C11"/>
    <mergeCell ref="D11:H11"/>
    <mergeCell ref="B12:C12"/>
    <mergeCell ref="E12:F12"/>
    <mergeCell ref="G12:H12"/>
    <mergeCell ref="B13:C13"/>
    <mergeCell ref="E13:F13"/>
    <mergeCell ref="G13:H13"/>
    <mergeCell ref="B14:C14"/>
    <mergeCell ref="E14:F14"/>
    <mergeCell ref="G14:H14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084F-770C-4443-AB4D-3C676BA43323}">
  <dimension ref="A1:M24"/>
  <sheetViews>
    <sheetView topLeftCell="A4" zoomScale="82" zoomScaleNormal="82" workbookViewId="0">
      <selection activeCell="E14" sqref="E14:F14"/>
    </sheetView>
  </sheetViews>
  <sheetFormatPr defaultColWidth="8.77734375" defaultRowHeight="14.4" x14ac:dyDescent="0.3"/>
  <cols>
    <col min="1" max="1" width="19.5546875" bestFit="1" customWidth="1"/>
    <col min="3" max="3" width="17.5546875" bestFit="1" customWidth="1"/>
    <col min="4" max="4" width="15.44140625" bestFit="1" customWidth="1"/>
    <col min="5" max="5" width="16.44140625" bestFit="1" customWidth="1"/>
    <col min="6" max="6" width="12.5546875" bestFit="1" customWidth="1"/>
    <col min="7" max="7" width="17.5546875" bestFit="1" customWidth="1"/>
    <col min="8" max="8" width="19" bestFit="1" customWidth="1"/>
    <col min="9" max="9" width="22.44140625" customWidth="1"/>
    <col min="10" max="10" width="25.44140625" customWidth="1"/>
  </cols>
  <sheetData>
    <row r="1" spans="1:10" ht="30" customHeight="1" x14ac:dyDescent="0.35">
      <c r="A1" s="80" t="s">
        <v>81</v>
      </c>
      <c r="B1" s="80"/>
      <c r="C1" s="80"/>
      <c r="D1" s="80"/>
      <c r="E1" s="80"/>
      <c r="F1" s="80"/>
      <c r="G1" s="80"/>
      <c r="H1" s="80"/>
      <c r="I1" s="7"/>
    </row>
    <row r="2" spans="1:10" ht="30" customHeight="1" x14ac:dyDescent="0.35">
      <c r="A2" s="32" t="s">
        <v>39</v>
      </c>
      <c r="B2" s="32" t="s">
        <v>40</v>
      </c>
      <c r="C2" s="32" t="s">
        <v>40</v>
      </c>
      <c r="D2" s="32" t="s">
        <v>41</v>
      </c>
      <c r="E2" s="32" t="s">
        <v>42</v>
      </c>
      <c r="F2" s="32" t="s">
        <v>43</v>
      </c>
      <c r="G2" s="32" t="s">
        <v>44</v>
      </c>
      <c r="H2" s="32" t="s">
        <v>45</v>
      </c>
      <c r="I2" s="8"/>
    </row>
    <row r="3" spans="1:10" ht="30" customHeight="1" x14ac:dyDescent="0.35">
      <c r="A3" s="32"/>
      <c r="B3" s="32" t="s">
        <v>46</v>
      </c>
      <c r="C3" s="32" t="s">
        <v>47</v>
      </c>
      <c r="D3" s="32" t="s">
        <v>48</v>
      </c>
      <c r="E3" s="32" t="s">
        <v>49</v>
      </c>
      <c r="F3" s="32" t="s">
        <v>50</v>
      </c>
      <c r="G3" s="32" t="s">
        <v>45</v>
      </c>
      <c r="H3" s="32" t="s">
        <v>72</v>
      </c>
      <c r="I3" s="32" t="s">
        <v>72</v>
      </c>
    </row>
    <row r="4" spans="1:10" ht="35.25" customHeight="1" x14ac:dyDescent="0.35">
      <c r="A4" s="32"/>
      <c r="B4" s="32"/>
      <c r="C4" s="32"/>
      <c r="D4" s="32" t="s">
        <v>51</v>
      </c>
      <c r="E4" s="9">
        <v>44196</v>
      </c>
      <c r="F4" s="10" t="s">
        <v>52</v>
      </c>
      <c r="G4" s="32" t="s">
        <v>53</v>
      </c>
      <c r="H4" s="32" t="s">
        <v>54</v>
      </c>
      <c r="I4" s="10" t="s">
        <v>79</v>
      </c>
    </row>
    <row r="5" spans="1:10" ht="30" customHeight="1" x14ac:dyDescent="0.35">
      <c r="A5" s="8" t="s">
        <v>55</v>
      </c>
      <c r="B5" s="14">
        <v>7</v>
      </c>
      <c r="C5" s="11">
        <v>60000</v>
      </c>
      <c r="D5" s="12">
        <v>0.15</v>
      </c>
      <c r="E5" s="13">
        <f>SUM(E10*D5)</f>
        <v>2250</v>
      </c>
      <c r="F5" s="14">
        <v>2</v>
      </c>
      <c r="G5" s="13">
        <f>C5-E5</f>
        <v>57750</v>
      </c>
      <c r="H5" s="13">
        <f>G5/F5</f>
        <v>28875</v>
      </c>
      <c r="I5" s="13">
        <f>SUM(H5*0.2)</f>
        <v>5775</v>
      </c>
    </row>
    <row r="6" spans="1:10" ht="30" customHeight="1" x14ac:dyDescent="0.35">
      <c r="A6" s="8" t="s">
        <v>56</v>
      </c>
      <c r="B6" s="14">
        <v>20</v>
      </c>
      <c r="C6" s="11">
        <v>300000</v>
      </c>
      <c r="D6" s="12">
        <v>0.45</v>
      </c>
      <c r="E6" s="13">
        <f>SUM(E10*D6)</f>
        <v>6750</v>
      </c>
      <c r="F6" s="14">
        <v>7</v>
      </c>
      <c r="G6" s="13">
        <f t="shared" ref="G6:G8" si="0">C6-E6</f>
        <v>293250</v>
      </c>
      <c r="H6" s="13">
        <f>SUM(G6/F6)</f>
        <v>41892.857142857145</v>
      </c>
      <c r="I6" s="13">
        <f>SUM(H6*0.2)</f>
        <v>8378.5714285714294</v>
      </c>
    </row>
    <row r="7" spans="1:10" ht="30" customHeight="1" x14ac:dyDescent="0.35">
      <c r="A7" s="8" t="s">
        <v>57</v>
      </c>
      <c r="B7" s="14">
        <v>15</v>
      </c>
      <c r="C7" s="11">
        <v>30000</v>
      </c>
      <c r="D7" s="12">
        <v>0.15</v>
      </c>
      <c r="E7" s="13">
        <f>SUM(E10*D7)</f>
        <v>2250</v>
      </c>
      <c r="F7" s="14">
        <v>1</v>
      </c>
      <c r="G7" s="13">
        <f t="shared" si="0"/>
        <v>27750</v>
      </c>
      <c r="H7" s="13">
        <f>SUM(G7/F7)</f>
        <v>27750</v>
      </c>
      <c r="I7" s="13">
        <f>SUM(H7*0.2)</f>
        <v>5550</v>
      </c>
      <c r="J7" s="5"/>
    </row>
    <row r="8" spans="1:10" ht="30" customHeight="1" x14ac:dyDescent="0.35">
      <c r="A8" s="8" t="s">
        <v>71</v>
      </c>
      <c r="B8" s="14">
        <v>10</v>
      </c>
      <c r="C8" s="11">
        <v>30000</v>
      </c>
      <c r="D8" s="12">
        <v>0.2</v>
      </c>
      <c r="E8" s="13">
        <f>SUM(E10*D8)</f>
        <v>3000</v>
      </c>
      <c r="F8" s="14">
        <v>1</v>
      </c>
      <c r="G8" s="13">
        <f t="shared" si="0"/>
        <v>27000</v>
      </c>
      <c r="H8" s="13">
        <f>SUM(G8/F8)</f>
        <v>27000</v>
      </c>
      <c r="I8" s="13">
        <f>SUM(H8*0.2)</f>
        <v>5400</v>
      </c>
      <c r="J8" s="5"/>
    </row>
    <row r="9" spans="1:10" ht="30" customHeight="1" x14ac:dyDescent="0.35">
      <c r="A9" s="8" t="s">
        <v>33</v>
      </c>
      <c r="B9" s="14">
        <v>8</v>
      </c>
      <c r="C9" s="11">
        <v>20000</v>
      </c>
      <c r="D9" s="12">
        <v>0.05</v>
      </c>
      <c r="E9" s="13">
        <f>SUM(E10*D9)</f>
        <v>750</v>
      </c>
      <c r="F9" s="14">
        <v>4</v>
      </c>
      <c r="G9" s="13">
        <f>C9-E9</f>
        <v>19250</v>
      </c>
      <c r="H9" s="13">
        <f>SUM(G9/F9)</f>
        <v>4812.5</v>
      </c>
      <c r="I9" s="13">
        <f>SUM(H9*0.2)</f>
        <v>962.5</v>
      </c>
    </row>
    <row r="10" spans="1:10" ht="30" customHeight="1" x14ac:dyDescent="0.35">
      <c r="A10" s="8" t="s">
        <v>58</v>
      </c>
      <c r="B10" s="32"/>
      <c r="C10" s="15">
        <f>SUM(C5:C7)</f>
        <v>390000</v>
      </c>
      <c r="D10" s="16"/>
      <c r="E10" s="17">
        <v>15000</v>
      </c>
      <c r="F10" s="32"/>
      <c r="G10" s="17">
        <f>C10-E10</f>
        <v>375000</v>
      </c>
      <c r="H10" s="17">
        <f>SUM(H5:H7)</f>
        <v>98517.857142857145</v>
      </c>
      <c r="I10" s="17">
        <f>SUM(I5:I7)</f>
        <v>19703.571428571428</v>
      </c>
    </row>
    <row r="11" spans="1:10" ht="30" customHeight="1" x14ac:dyDescent="0.35">
      <c r="A11" s="7"/>
      <c r="B11" s="7"/>
      <c r="C11" s="7"/>
      <c r="D11" s="7"/>
      <c r="E11" s="7"/>
      <c r="F11" s="7"/>
      <c r="G11" s="7"/>
      <c r="H11" s="7"/>
      <c r="I11" s="7"/>
    </row>
    <row r="12" spans="1:10" ht="34.5" customHeight="1" x14ac:dyDescent="0.35">
      <c r="A12" s="81" t="s">
        <v>59</v>
      </c>
      <c r="B12" s="82"/>
      <c r="C12" s="82"/>
      <c r="D12" s="83"/>
      <c r="E12" s="84" t="s">
        <v>60</v>
      </c>
      <c r="F12" s="84"/>
      <c r="G12" s="81" t="s">
        <v>70</v>
      </c>
      <c r="H12" s="83"/>
      <c r="I12" s="15" t="s">
        <v>69</v>
      </c>
      <c r="J12" s="5"/>
    </row>
    <row r="13" spans="1:10" ht="30" customHeight="1" x14ac:dyDescent="0.35">
      <c r="A13" s="72" t="s">
        <v>62</v>
      </c>
      <c r="B13" s="72"/>
      <c r="C13" s="85">
        <f>'Budget 2021'!C47</f>
        <v>270</v>
      </c>
      <c r="D13" s="85"/>
      <c r="E13" s="86">
        <v>106</v>
      </c>
      <c r="F13" s="86"/>
      <c r="G13" s="86">
        <v>25</v>
      </c>
      <c r="H13" s="86"/>
      <c r="I13" s="18">
        <v>295</v>
      </c>
      <c r="J13" s="6"/>
    </row>
    <row r="14" spans="1:10" ht="30" customHeight="1" x14ac:dyDescent="0.35">
      <c r="A14" s="72" t="s">
        <v>63</v>
      </c>
      <c r="B14" s="72"/>
      <c r="C14" s="73">
        <f>'Budget 2021'!C48</f>
        <v>275</v>
      </c>
      <c r="D14" s="74"/>
      <c r="E14" s="75">
        <v>147</v>
      </c>
      <c r="F14" s="76"/>
      <c r="G14" s="75">
        <v>30</v>
      </c>
      <c r="H14" s="76"/>
      <c r="I14" s="33">
        <f>C14+G14</f>
        <v>305</v>
      </c>
    </row>
    <row r="15" spans="1:10" ht="30" customHeight="1" x14ac:dyDescent="0.35">
      <c r="A15" s="77" t="s">
        <v>61</v>
      </c>
      <c r="B15" s="78"/>
      <c r="C15" s="19"/>
      <c r="D15" s="20"/>
      <c r="E15" s="79"/>
      <c r="F15" s="79"/>
      <c r="G15" s="79"/>
      <c r="H15" s="79"/>
      <c r="I15" s="21"/>
    </row>
    <row r="16" spans="1:10" ht="18.600000000000001" thickBot="1" x14ac:dyDescent="0.4">
      <c r="A16" s="7"/>
      <c r="B16" s="7"/>
      <c r="C16" s="7"/>
      <c r="D16" s="7"/>
      <c r="E16" s="7"/>
      <c r="F16" s="7"/>
      <c r="G16" s="7"/>
      <c r="H16" s="7"/>
      <c r="I16" s="7"/>
    </row>
    <row r="17" spans="1:13" ht="15" customHeight="1" x14ac:dyDescent="0.3">
      <c r="A17" s="63" t="s">
        <v>80</v>
      </c>
      <c r="B17" s="64"/>
      <c r="C17" s="64"/>
      <c r="D17" s="64"/>
      <c r="E17" s="64"/>
      <c r="F17" s="64"/>
      <c r="G17" s="64"/>
      <c r="H17" s="64"/>
      <c r="I17" s="65"/>
      <c r="J17" s="22"/>
    </row>
    <row r="18" spans="1:13" x14ac:dyDescent="0.3">
      <c r="A18" s="66"/>
      <c r="B18" s="67"/>
      <c r="C18" s="67"/>
      <c r="D18" s="67"/>
      <c r="E18" s="67"/>
      <c r="F18" s="67"/>
      <c r="G18" s="67"/>
      <c r="H18" s="67"/>
      <c r="I18" s="68"/>
      <c r="J18" s="22"/>
    </row>
    <row r="19" spans="1:13" x14ac:dyDescent="0.3">
      <c r="A19" s="66"/>
      <c r="B19" s="67"/>
      <c r="C19" s="67"/>
      <c r="D19" s="67"/>
      <c r="E19" s="67"/>
      <c r="F19" s="67"/>
      <c r="G19" s="67"/>
      <c r="H19" s="67"/>
      <c r="I19" s="68"/>
    </row>
    <row r="20" spans="1:13" x14ac:dyDescent="0.3">
      <c r="A20" s="66"/>
      <c r="B20" s="67"/>
      <c r="C20" s="67"/>
      <c r="D20" s="67"/>
      <c r="E20" s="67"/>
      <c r="F20" s="67"/>
      <c r="G20" s="67"/>
      <c r="H20" s="67"/>
      <c r="I20" s="68"/>
    </row>
    <row r="21" spans="1:13" ht="15" thickBot="1" x14ac:dyDescent="0.35">
      <c r="A21" s="69"/>
      <c r="B21" s="70"/>
      <c r="C21" s="70"/>
      <c r="D21" s="70"/>
      <c r="E21" s="70"/>
      <c r="F21" s="70"/>
      <c r="G21" s="70"/>
      <c r="H21" s="70"/>
      <c r="I21" s="71"/>
    </row>
    <row r="24" spans="1:13" x14ac:dyDescent="0.3">
      <c r="M24">
        <f>255+41.65</f>
        <v>296.64999999999998</v>
      </c>
    </row>
  </sheetData>
  <mergeCells count="16">
    <mergeCell ref="A1:H1"/>
    <mergeCell ref="A12:D12"/>
    <mergeCell ref="E12:F12"/>
    <mergeCell ref="G12:H12"/>
    <mergeCell ref="A13:B13"/>
    <mergeCell ref="C13:D13"/>
    <mergeCell ref="E13:F13"/>
    <mergeCell ref="G13:H13"/>
    <mergeCell ref="A17:I21"/>
    <mergeCell ref="A14:B14"/>
    <mergeCell ref="C14:D14"/>
    <mergeCell ref="E14:F14"/>
    <mergeCell ref="G14:H14"/>
    <mergeCell ref="A15:B15"/>
    <mergeCell ref="E15:F15"/>
    <mergeCell ref="G15:H15"/>
  </mergeCells>
  <pageMargins left="0.7" right="0.7" top="0.75" bottom="0.75" header="0.3" footer="0.3"/>
  <pageSetup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03EE-3583-4DD4-B54B-BC827F62B0CF}">
  <dimension ref="A1:N53"/>
  <sheetViews>
    <sheetView view="pageBreakPreview" zoomScale="60" zoomScaleNormal="69" workbookViewId="0">
      <selection activeCell="A48" sqref="A48:D53"/>
    </sheetView>
  </sheetViews>
  <sheetFormatPr defaultRowHeight="14.4" x14ac:dyDescent="0.3"/>
  <cols>
    <col min="1" max="1" width="24.77734375" bestFit="1" customWidth="1"/>
    <col min="2" max="2" width="33.77734375" bestFit="1" customWidth="1"/>
    <col min="3" max="3" width="24.5546875" bestFit="1" customWidth="1"/>
    <col min="4" max="4" width="24.21875" bestFit="1" customWidth="1"/>
    <col min="6" max="6" width="3" customWidth="1"/>
    <col min="7" max="7" width="13.44140625" bestFit="1" customWidth="1"/>
    <col min="8" max="10" width="9.21875" bestFit="1" customWidth="1"/>
    <col min="11" max="11" width="9.44140625" bestFit="1" customWidth="1"/>
    <col min="12" max="12" width="13.21875" bestFit="1" customWidth="1"/>
    <col min="13" max="13" width="17.77734375" bestFit="1" customWidth="1"/>
    <col min="14" max="15" width="11.21875" bestFit="1" customWidth="1"/>
  </cols>
  <sheetData>
    <row r="1" spans="1:4" ht="18" x14ac:dyDescent="0.35">
      <c r="A1" s="61" t="s">
        <v>0</v>
      </c>
      <c r="B1" s="61"/>
      <c r="C1" s="61"/>
      <c r="D1" s="61"/>
    </row>
    <row r="2" spans="1:4" ht="18" x14ac:dyDescent="0.35">
      <c r="A2" s="61" t="s">
        <v>82</v>
      </c>
      <c r="B2" s="61"/>
      <c r="C2" s="61"/>
      <c r="D2" s="61"/>
    </row>
    <row r="3" spans="1:4" ht="18" x14ac:dyDescent="0.35">
      <c r="A3" s="61" t="s">
        <v>83</v>
      </c>
      <c r="B3" s="61"/>
      <c r="C3" s="61"/>
      <c r="D3" s="61"/>
    </row>
    <row r="4" spans="1:4" ht="18" x14ac:dyDescent="0.35">
      <c r="A4" s="7"/>
      <c r="B4" s="23"/>
      <c r="C4" s="23"/>
      <c r="D4" s="23"/>
    </row>
    <row r="5" spans="1:4" x14ac:dyDescent="0.3">
      <c r="B5" s="62" t="s">
        <v>84</v>
      </c>
      <c r="C5" s="62" t="s">
        <v>85</v>
      </c>
      <c r="D5" s="62" t="s">
        <v>82</v>
      </c>
    </row>
    <row r="6" spans="1:4" x14ac:dyDescent="0.3">
      <c r="B6" s="62"/>
      <c r="C6" s="62"/>
      <c r="D6" s="62"/>
    </row>
    <row r="7" spans="1:4" x14ac:dyDescent="0.3">
      <c r="A7" s="2" t="s">
        <v>1</v>
      </c>
      <c r="B7" s="1"/>
      <c r="C7" s="1"/>
      <c r="D7" s="1"/>
    </row>
    <row r="8" spans="1:4" ht="18" x14ac:dyDescent="0.35">
      <c r="A8" t="s">
        <v>2</v>
      </c>
      <c r="B8" s="24">
        <v>194400</v>
      </c>
      <c r="C8" s="24">
        <v>200000</v>
      </c>
      <c r="D8" s="24">
        <v>213600</v>
      </c>
    </row>
    <row r="9" spans="1:4" ht="18" x14ac:dyDescent="0.35">
      <c r="A9" t="s">
        <v>3</v>
      </c>
      <c r="B9" s="24">
        <v>250</v>
      </c>
      <c r="C9" s="24">
        <v>220</v>
      </c>
      <c r="D9" s="24">
        <v>235</v>
      </c>
    </row>
    <row r="10" spans="1:4" ht="18.600000000000001" thickBot="1" x14ac:dyDescent="0.4">
      <c r="A10" t="s">
        <v>5</v>
      </c>
      <c r="B10" s="25">
        <v>5000</v>
      </c>
      <c r="C10" s="25">
        <v>1700</v>
      </c>
      <c r="D10" s="25">
        <v>1700</v>
      </c>
    </row>
    <row r="11" spans="1:4" ht="18" x14ac:dyDescent="0.35">
      <c r="A11" s="2" t="s">
        <v>4</v>
      </c>
      <c r="B11" s="26">
        <f>SUM(B8:B10)</f>
        <v>199650</v>
      </c>
      <c r="C11" s="26">
        <f>SUM(C8:C10)</f>
        <v>201920</v>
      </c>
      <c r="D11" s="26">
        <f>SUM(D8:D10)</f>
        <v>215535</v>
      </c>
    </row>
    <row r="12" spans="1:4" ht="18" x14ac:dyDescent="0.35">
      <c r="A12" s="2" t="s">
        <v>6</v>
      </c>
      <c r="B12" s="24"/>
      <c r="C12" s="24"/>
      <c r="D12" s="24"/>
    </row>
    <row r="13" spans="1:4" ht="18" x14ac:dyDescent="0.35">
      <c r="A13" s="2" t="s">
        <v>7</v>
      </c>
      <c r="B13" s="24"/>
      <c r="C13" s="24"/>
      <c r="D13" s="24"/>
    </row>
    <row r="14" spans="1:4" ht="18" x14ac:dyDescent="0.35">
      <c r="A14" t="s">
        <v>8</v>
      </c>
      <c r="B14" s="24">
        <v>300</v>
      </c>
      <c r="C14" s="24">
        <v>310</v>
      </c>
      <c r="D14" s="24">
        <v>320</v>
      </c>
    </row>
    <row r="15" spans="1:4" ht="18" x14ac:dyDescent="0.35">
      <c r="A15" t="s">
        <v>9</v>
      </c>
      <c r="B15" s="24">
        <v>64000</v>
      </c>
      <c r="C15" s="24">
        <v>75000</v>
      </c>
      <c r="D15" s="24">
        <v>77815</v>
      </c>
    </row>
    <row r="16" spans="1:4" ht="18" x14ac:dyDescent="0.35">
      <c r="A16" t="s">
        <v>10</v>
      </c>
      <c r="B16" s="24">
        <v>1500</v>
      </c>
      <c r="C16" s="24">
        <v>3800</v>
      </c>
      <c r="D16" s="24">
        <v>1500</v>
      </c>
    </row>
    <row r="17" spans="1:14" ht="18" x14ac:dyDescent="0.35">
      <c r="A17" t="s">
        <v>11</v>
      </c>
      <c r="B17" s="24">
        <v>300</v>
      </c>
      <c r="C17" s="24">
        <v>5200</v>
      </c>
      <c r="D17" s="24">
        <v>700</v>
      </c>
    </row>
    <row r="18" spans="1:14" ht="18" x14ac:dyDescent="0.35">
      <c r="A18" t="s">
        <v>12</v>
      </c>
      <c r="B18" s="24">
        <v>1300</v>
      </c>
      <c r="C18" s="24">
        <v>1000</v>
      </c>
      <c r="D18" s="24">
        <v>1200</v>
      </c>
    </row>
    <row r="19" spans="1:14" ht="18" x14ac:dyDescent="0.35">
      <c r="A19" t="s">
        <v>13</v>
      </c>
      <c r="B19" s="24">
        <v>200</v>
      </c>
      <c r="C19" s="24">
        <v>200</v>
      </c>
      <c r="D19" s="24">
        <v>200</v>
      </c>
    </row>
    <row r="20" spans="1:14" ht="18.600000000000001" thickBot="1" x14ac:dyDescent="0.4">
      <c r="A20" t="s">
        <v>15</v>
      </c>
      <c r="B20" s="25">
        <v>7800</v>
      </c>
      <c r="C20" s="25">
        <f>650*12</f>
        <v>7800</v>
      </c>
      <c r="D20" s="25">
        <v>7800</v>
      </c>
    </row>
    <row r="21" spans="1:14" ht="18" x14ac:dyDescent="0.35">
      <c r="A21" s="2" t="s">
        <v>14</v>
      </c>
      <c r="B21" s="26">
        <f>SUM(B14:B20)</f>
        <v>75400</v>
      </c>
      <c r="C21" s="26">
        <f>SUM(C14:C20)</f>
        <v>93310</v>
      </c>
      <c r="D21" s="26">
        <f>SUM(D14:D20)</f>
        <v>89535</v>
      </c>
    </row>
    <row r="22" spans="1:14" ht="18" x14ac:dyDescent="0.35">
      <c r="A22" s="2" t="s">
        <v>16</v>
      </c>
      <c r="B22" s="24"/>
      <c r="C22" s="24"/>
      <c r="D22" s="24"/>
    </row>
    <row r="23" spans="1:14" ht="18" x14ac:dyDescent="0.35">
      <c r="A23" t="s">
        <v>20</v>
      </c>
      <c r="B23" s="24">
        <v>12950</v>
      </c>
      <c r="C23" s="24">
        <v>18500</v>
      </c>
      <c r="D23" s="24">
        <v>18500</v>
      </c>
    </row>
    <row r="24" spans="1:14" ht="25.8" x14ac:dyDescent="0.5">
      <c r="A24" t="s">
        <v>17</v>
      </c>
      <c r="B24" s="24">
        <v>4000</v>
      </c>
      <c r="C24" s="24">
        <v>3100</v>
      </c>
      <c r="D24" s="24">
        <v>4000</v>
      </c>
      <c r="L24" s="44">
        <f>17.6</f>
        <v>17.600000000000001</v>
      </c>
      <c r="M24" s="45">
        <f>SUM(D43*0.0176)/12</f>
        <v>306.43800000000005</v>
      </c>
    </row>
    <row r="25" spans="1:14" ht="25.8" x14ac:dyDescent="0.5">
      <c r="A25" t="s">
        <v>18</v>
      </c>
      <c r="B25" s="24">
        <v>12000</v>
      </c>
      <c r="C25" s="24">
        <v>4000</v>
      </c>
      <c r="D25" s="24">
        <v>8000</v>
      </c>
      <c r="L25" s="44">
        <f>82.4</f>
        <v>82.4</v>
      </c>
      <c r="M25" s="45">
        <f>SUM(D43*0.0824)/12</f>
        <v>1434.6869999999999</v>
      </c>
    </row>
    <row r="26" spans="1:14" ht="18" x14ac:dyDescent="0.35">
      <c r="A26" t="s">
        <v>36</v>
      </c>
      <c r="B26" s="24">
        <v>1300</v>
      </c>
      <c r="C26" s="24">
        <v>1100</v>
      </c>
      <c r="D26" s="24">
        <v>1300</v>
      </c>
    </row>
    <row r="27" spans="1:14" ht="18" x14ac:dyDescent="0.35">
      <c r="A27" t="s">
        <v>37</v>
      </c>
      <c r="B27" s="24">
        <v>7800</v>
      </c>
      <c r="C27" s="24">
        <v>19000</v>
      </c>
      <c r="D27" s="24">
        <v>5200</v>
      </c>
    </row>
    <row r="28" spans="1:14" ht="18.600000000000001" thickBot="1" x14ac:dyDescent="0.4">
      <c r="A28" t="s">
        <v>19</v>
      </c>
      <c r="B28" s="25">
        <v>500</v>
      </c>
      <c r="C28" s="25">
        <v>500</v>
      </c>
      <c r="D28" s="25">
        <v>500</v>
      </c>
    </row>
    <row r="29" spans="1:14" ht="18" x14ac:dyDescent="0.35">
      <c r="A29" s="2" t="s">
        <v>21</v>
      </c>
      <c r="B29" s="26">
        <f>SUM(B23:B28)</f>
        <v>38550</v>
      </c>
      <c r="C29" s="26">
        <f>SUM(C23:C28)</f>
        <v>46200</v>
      </c>
      <c r="D29" s="26">
        <f>SUM(D23:D28)</f>
        <v>37500</v>
      </c>
    </row>
    <row r="30" spans="1:14" ht="18" x14ac:dyDescent="0.35">
      <c r="A30" s="2" t="s">
        <v>22</v>
      </c>
      <c r="B30" s="24"/>
      <c r="C30" s="24"/>
      <c r="D30" s="24"/>
      <c r="M30">
        <f>39</f>
        <v>39</v>
      </c>
    </row>
    <row r="31" spans="1:14" ht="18" x14ac:dyDescent="0.35">
      <c r="A31" t="s">
        <v>23</v>
      </c>
      <c r="B31" s="24">
        <v>6000</v>
      </c>
      <c r="C31" s="24">
        <v>6200</v>
      </c>
      <c r="D31" s="24">
        <v>6000</v>
      </c>
      <c r="K31">
        <v>1</v>
      </c>
      <c r="L31">
        <v>1</v>
      </c>
      <c r="M31">
        <f>29</f>
        <v>29</v>
      </c>
    </row>
    <row r="32" spans="1:14" ht="18.600000000000001" thickBot="1" x14ac:dyDescent="0.4">
      <c r="A32" t="s">
        <v>24</v>
      </c>
      <c r="B32" s="25">
        <v>500</v>
      </c>
      <c r="C32" s="25">
        <v>0</v>
      </c>
      <c r="D32" s="25">
        <v>500</v>
      </c>
      <c r="M32">
        <f>SUM(M31/M30)</f>
        <v>0.74358974358974361</v>
      </c>
      <c r="N32">
        <f>SUM(M30/M31)</f>
        <v>1.3448275862068966</v>
      </c>
    </row>
    <row r="33" spans="1:14" ht="18" x14ac:dyDescent="0.35">
      <c r="A33" s="2" t="s">
        <v>25</v>
      </c>
      <c r="B33" s="26">
        <f>SUM(B31:B32)</f>
        <v>6500</v>
      </c>
      <c r="C33" s="26">
        <f>SUM(C31:C32)</f>
        <v>6200</v>
      </c>
      <c r="D33" s="26">
        <f>SUM(D31:D32)</f>
        <v>6500</v>
      </c>
      <c r="N33">
        <f>N32*40</f>
        <v>53.793103448275865</v>
      </c>
    </row>
    <row r="34" spans="1:14" ht="18" x14ac:dyDescent="0.35">
      <c r="A34" s="2" t="s">
        <v>26</v>
      </c>
      <c r="B34" s="24"/>
      <c r="C34" s="24"/>
      <c r="D34" s="24"/>
      <c r="N34">
        <f>100-N33</f>
        <v>46.206896551724135</v>
      </c>
    </row>
    <row r="35" spans="1:14" ht="18" x14ac:dyDescent="0.35">
      <c r="A35" t="s">
        <v>34</v>
      </c>
      <c r="B35" s="24">
        <v>4200</v>
      </c>
      <c r="C35" s="24">
        <v>4200</v>
      </c>
      <c r="D35" s="24">
        <v>4200</v>
      </c>
    </row>
    <row r="36" spans="1:14" ht="18.600000000000001" thickBot="1" x14ac:dyDescent="0.4">
      <c r="A36" t="s">
        <v>27</v>
      </c>
      <c r="B36" s="25">
        <v>2000</v>
      </c>
      <c r="C36" s="25">
        <v>6000</v>
      </c>
      <c r="D36" s="25">
        <v>3200</v>
      </c>
    </row>
    <row r="37" spans="1:14" ht="18" x14ac:dyDescent="0.35">
      <c r="A37" s="2" t="s">
        <v>28</v>
      </c>
      <c r="B37" s="26">
        <f>SUM(B35:B36)</f>
        <v>6200</v>
      </c>
      <c r="C37" s="26">
        <f>SUM(C35:C36)</f>
        <v>10200</v>
      </c>
      <c r="D37" s="26">
        <f>SUM(D35:D36)</f>
        <v>7400</v>
      </c>
      <c r="J37">
        <f>16/40</f>
        <v>0.4</v>
      </c>
    </row>
    <row r="38" spans="1:14" ht="18" x14ac:dyDescent="0.35">
      <c r="A38" s="2" t="s">
        <v>29</v>
      </c>
      <c r="B38" s="24"/>
      <c r="C38" s="24"/>
      <c r="D38" s="24"/>
    </row>
    <row r="39" spans="1:14" ht="18" x14ac:dyDescent="0.35">
      <c r="A39" t="s">
        <v>30</v>
      </c>
      <c r="B39" s="24">
        <v>35000</v>
      </c>
      <c r="C39" s="24">
        <v>22000</v>
      </c>
      <c r="D39" s="24">
        <v>24000</v>
      </c>
    </row>
    <row r="40" spans="1:14" ht="18" x14ac:dyDescent="0.35">
      <c r="A40" t="s">
        <v>31</v>
      </c>
      <c r="B40" s="24">
        <v>32700</v>
      </c>
      <c r="C40" s="24">
        <v>39000</v>
      </c>
      <c r="D40" s="24">
        <v>38000</v>
      </c>
    </row>
    <row r="41" spans="1:14" ht="18.600000000000001" thickBot="1" x14ac:dyDescent="0.4">
      <c r="A41" t="s">
        <v>32</v>
      </c>
      <c r="B41" s="25">
        <v>5300</v>
      </c>
      <c r="C41" s="25">
        <v>6000</v>
      </c>
      <c r="D41" s="25">
        <v>6000</v>
      </c>
    </row>
    <row r="42" spans="1:14" ht="18.600000000000001" thickBot="1" x14ac:dyDescent="0.4">
      <c r="A42" s="2" t="s">
        <v>35</v>
      </c>
      <c r="B42" s="27">
        <f>SUM(B39:B41)</f>
        <v>73000</v>
      </c>
      <c r="C42" s="27">
        <f>SUM(C39:C41)</f>
        <v>67000</v>
      </c>
      <c r="D42" s="27">
        <f>SUM(D39:D41)</f>
        <v>68000</v>
      </c>
    </row>
    <row r="43" spans="1:14" ht="18.600000000000001" thickTop="1" x14ac:dyDescent="0.35">
      <c r="A43" t="s">
        <v>38</v>
      </c>
      <c r="B43" s="26">
        <f>SUM(B42+B37+B33+B29+B21)</f>
        <v>199650</v>
      </c>
      <c r="C43" s="26">
        <f>SUM(C42+C37+C33+C29+C21)</f>
        <v>222910</v>
      </c>
      <c r="D43" s="26">
        <f>SUM(D42+D37+D33+D29+D21)</f>
        <v>208935</v>
      </c>
      <c r="M43">
        <f>M44*40</f>
        <v>0.694272</v>
      </c>
    </row>
    <row r="44" spans="1:14" x14ac:dyDescent="0.3">
      <c r="B44" s="3"/>
      <c r="C44" s="3"/>
      <c r="D44" s="3"/>
      <c r="M44">
        <v>1.7356799999999999E-2</v>
      </c>
    </row>
    <row r="45" spans="1:14" ht="18" x14ac:dyDescent="0.3">
      <c r="A45" s="84" t="s">
        <v>59</v>
      </c>
      <c r="B45" s="84"/>
      <c r="C45" s="84"/>
      <c r="D45" s="84"/>
      <c r="H45">
        <v>1</v>
      </c>
      <c r="I45">
        <v>0.74868000000000001</v>
      </c>
      <c r="J45">
        <f>I45/56</f>
        <v>1.3369285714285714E-2</v>
      </c>
      <c r="K45" s="6">
        <f>SUM(D43*M43)/40/12</f>
        <v>302.20358399999998</v>
      </c>
      <c r="L45" s="6">
        <f>K45*40*12</f>
        <v>145057.72031999996</v>
      </c>
    </row>
    <row r="46" spans="1:14" ht="27.75" customHeight="1" x14ac:dyDescent="0.3">
      <c r="A46" s="84" t="s">
        <v>62</v>
      </c>
      <c r="B46" s="84"/>
      <c r="C46" s="35">
        <v>0.694272</v>
      </c>
      <c r="D46" s="46">
        <f>SUM(D43*C46)/40/12</f>
        <v>302.20358399999998</v>
      </c>
      <c r="G46" s="6">
        <f>(D43*0.0517931)/12</f>
        <v>901.7826123750001</v>
      </c>
      <c r="H46">
        <v>2</v>
      </c>
      <c r="I46">
        <v>0.25131999999999999</v>
      </c>
      <c r="J46">
        <f>I46/16</f>
        <v>1.5707499999999999E-2</v>
      </c>
      <c r="K46" s="6">
        <f>SUM(D43*J47)/16/12</f>
        <v>332.694165</v>
      </c>
      <c r="L46" s="6">
        <f>K46*12*16</f>
        <v>63877.27968</v>
      </c>
    </row>
    <row r="47" spans="1:14" ht="25.5" customHeight="1" thickBot="1" x14ac:dyDescent="0.35">
      <c r="A47" s="96" t="s">
        <v>63</v>
      </c>
      <c r="B47" s="96"/>
      <c r="C47" s="47">
        <v>0.305728</v>
      </c>
      <c r="D47" s="48">
        <f>SUM(D43*C47)/16/12</f>
        <v>332.694165</v>
      </c>
      <c r="G47" s="6">
        <f>SUM(D43*0.462069)/16/12</f>
        <v>502.82492976562503</v>
      </c>
      <c r="J47">
        <v>0.305728</v>
      </c>
    </row>
    <row r="48" spans="1:14" x14ac:dyDescent="0.3">
      <c r="A48" s="87" t="s">
        <v>103</v>
      </c>
      <c r="B48" s="88"/>
      <c r="C48" s="88"/>
      <c r="D48" s="89"/>
      <c r="I48">
        <f>SUM(F46+F47)</f>
        <v>0</v>
      </c>
    </row>
    <row r="49" spans="1:4" x14ac:dyDescent="0.3">
      <c r="A49" s="90"/>
      <c r="B49" s="91"/>
      <c r="C49" s="91"/>
      <c r="D49" s="92"/>
    </row>
    <row r="50" spans="1:4" x14ac:dyDescent="0.3">
      <c r="A50" s="90"/>
      <c r="B50" s="91"/>
      <c r="C50" s="91"/>
      <c r="D50" s="92"/>
    </row>
    <row r="51" spans="1:4" x14ac:dyDescent="0.3">
      <c r="A51" s="90"/>
      <c r="B51" s="91"/>
      <c r="C51" s="91"/>
      <c r="D51" s="92"/>
    </row>
    <row r="52" spans="1:4" x14ac:dyDescent="0.3">
      <c r="A52" s="90"/>
      <c r="B52" s="91"/>
      <c r="C52" s="91"/>
      <c r="D52" s="92"/>
    </row>
    <row r="53" spans="1:4" ht="15" thickBot="1" x14ac:dyDescent="0.35">
      <c r="A53" s="93"/>
      <c r="B53" s="94"/>
      <c r="C53" s="94"/>
      <c r="D53" s="95"/>
    </row>
  </sheetData>
  <mergeCells count="10">
    <mergeCell ref="A48:D53"/>
    <mergeCell ref="A47:B47"/>
    <mergeCell ref="A1:D1"/>
    <mergeCell ref="A2:D2"/>
    <mergeCell ref="A3:D3"/>
    <mergeCell ref="B5:B6"/>
    <mergeCell ref="C5:C6"/>
    <mergeCell ref="D5:D6"/>
    <mergeCell ref="A45:D45"/>
    <mergeCell ref="A46:B46"/>
  </mergeCells>
  <pageMargins left="0.7" right="0.7" top="0.75" bottom="0.75" header="0.3" footer="0.3"/>
  <pageSetup scale="69" orientation="portrait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BC1E-8A4C-4F12-B8C2-2EB01BED2883}">
  <dimension ref="A1:J4"/>
  <sheetViews>
    <sheetView zoomScale="136" zoomScaleNormal="136" workbookViewId="0">
      <selection activeCell="B4" sqref="B4:C4"/>
    </sheetView>
  </sheetViews>
  <sheetFormatPr defaultRowHeight="42.75" customHeight="1" x14ac:dyDescent="0.3"/>
  <cols>
    <col min="1" max="1" width="25.77734375" customWidth="1"/>
    <col min="2" max="2" width="22.5546875" customWidth="1"/>
    <col min="4" max="4" width="11" bestFit="1" customWidth="1"/>
    <col min="6" max="6" width="11" customWidth="1"/>
    <col min="7" max="7" width="20.77734375" customWidth="1"/>
    <col min="8" max="8" width="11.5546875" customWidth="1"/>
  </cols>
  <sheetData>
    <row r="1" spans="1:10" ht="42.75" customHeight="1" x14ac:dyDescent="0.3">
      <c r="A1" s="37">
        <v>160000</v>
      </c>
      <c r="B1" s="4">
        <v>5.5E-2</v>
      </c>
      <c r="C1" s="34" t="s">
        <v>88</v>
      </c>
      <c r="D1" s="34" t="s">
        <v>97</v>
      </c>
      <c r="E1" s="34" t="s">
        <v>89</v>
      </c>
      <c r="F1" s="34">
        <f>(150000*0.045)*5</f>
        <v>33750</v>
      </c>
      <c r="G1" s="99" t="s">
        <v>104</v>
      </c>
      <c r="H1" s="99"/>
    </row>
    <row r="2" spans="1:10" ht="42.75" customHeight="1" x14ac:dyDescent="0.3">
      <c r="A2" s="34"/>
      <c r="B2" s="99" t="s">
        <v>90</v>
      </c>
      <c r="C2" s="99"/>
      <c r="D2" s="34" t="s">
        <v>98</v>
      </c>
      <c r="E2" s="99" t="s">
        <v>91</v>
      </c>
      <c r="F2" s="99"/>
      <c r="G2" s="99" t="s">
        <v>92</v>
      </c>
      <c r="H2" s="99"/>
      <c r="J2">
        <f>J4+160000</f>
        <v>204000</v>
      </c>
    </row>
    <row r="3" spans="1:10" ht="42.75" customHeight="1" x14ac:dyDescent="0.3">
      <c r="A3" s="34" t="s">
        <v>96</v>
      </c>
      <c r="B3" s="102">
        <f>SUM(J2*D3)/40</f>
        <v>3540.7872000000002</v>
      </c>
      <c r="C3" s="102"/>
      <c r="D3" s="34">
        <v>0.694272</v>
      </c>
      <c r="E3" s="97">
        <f>SUM(B3/60)</f>
        <v>59.013120000000001</v>
      </c>
      <c r="F3" s="97"/>
      <c r="G3" s="102">
        <f>SUM(A1*D3)/40</f>
        <v>2777.0880000000002</v>
      </c>
      <c r="H3" s="102"/>
      <c r="J3">
        <f>160000*0.055</f>
        <v>8800</v>
      </c>
    </row>
    <row r="4" spans="1:10" ht="42.75" customHeight="1" x14ac:dyDescent="0.3">
      <c r="A4" s="34" t="s">
        <v>95</v>
      </c>
      <c r="B4" s="100">
        <f>SUM(J2*D4)/16</f>
        <v>3898.0320000000002</v>
      </c>
      <c r="C4" s="101"/>
      <c r="D4" s="34">
        <v>0.305728</v>
      </c>
      <c r="E4" s="97">
        <f>SUM(B4/60)</f>
        <v>64.967200000000005</v>
      </c>
      <c r="F4" s="97"/>
      <c r="G4" s="98">
        <f>SUM(A1*D4)/16</f>
        <v>3057.28</v>
      </c>
      <c r="H4" s="99"/>
      <c r="J4">
        <f>J3*5</f>
        <v>44000</v>
      </c>
    </row>
  </sheetData>
  <mergeCells count="10">
    <mergeCell ref="E4:F4"/>
    <mergeCell ref="G4:H4"/>
    <mergeCell ref="B4:C4"/>
    <mergeCell ref="G1:H1"/>
    <mergeCell ref="B2:C2"/>
    <mergeCell ref="B3:C3"/>
    <mergeCell ref="E2:F2"/>
    <mergeCell ref="E3:F3"/>
    <mergeCell ref="G2:H2"/>
    <mergeCell ref="G3:H3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CB3D-93EB-485E-A081-DA292B801080}">
  <dimension ref="A1:L27"/>
  <sheetViews>
    <sheetView topLeftCell="A15" zoomScale="82" zoomScaleNormal="82" workbookViewId="0">
      <selection activeCell="C26" sqref="C26:C27"/>
    </sheetView>
  </sheetViews>
  <sheetFormatPr defaultColWidth="8.77734375" defaultRowHeight="14.4" x14ac:dyDescent="0.3"/>
  <cols>
    <col min="1" max="1" width="19.5546875" bestFit="1" customWidth="1"/>
    <col min="2" max="2" width="15" customWidth="1"/>
    <col min="3" max="3" width="17.5546875" bestFit="1" customWidth="1"/>
    <col min="4" max="4" width="15.44140625" bestFit="1" customWidth="1"/>
    <col min="5" max="5" width="16.44140625" bestFit="1" customWidth="1"/>
    <col min="6" max="6" width="12.5546875" bestFit="1" customWidth="1"/>
    <col min="7" max="7" width="17.5546875" bestFit="1" customWidth="1"/>
    <col min="8" max="8" width="19" bestFit="1" customWidth="1"/>
    <col min="9" max="9" width="22.44140625" customWidth="1"/>
    <col min="10" max="10" width="25.44140625" customWidth="1"/>
  </cols>
  <sheetData>
    <row r="1" spans="1:10" ht="30" customHeight="1" x14ac:dyDescent="0.35">
      <c r="A1" s="80" t="s">
        <v>86</v>
      </c>
      <c r="B1" s="80"/>
      <c r="C1" s="80"/>
      <c r="D1" s="80"/>
      <c r="E1" s="80"/>
      <c r="F1" s="80"/>
      <c r="G1" s="80"/>
      <c r="H1" s="80"/>
      <c r="I1" s="7"/>
    </row>
    <row r="2" spans="1:10" ht="30" customHeight="1" x14ac:dyDescent="0.35">
      <c r="A2" s="32" t="s">
        <v>39</v>
      </c>
      <c r="B2" s="32" t="s">
        <v>40</v>
      </c>
      <c r="C2" s="32" t="s">
        <v>40</v>
      </c>
      <c r="D2" s="32" t="s">
        <v>41</v>
      </c>
      <c r="E2" s="32" t="s">
        <v>42</v>
      </c>
      <c r="F2" s="32" t="s">
        <v>43</v>
      </c>
      <c r="G2" s="32" t="s">
        <v>44</v>
      </c>
      <c r="H2" s="32" t="s">
        <v>45</v>
      </c>
      <c r="I2" s="8"/>
    </row>
    <row r="3" spans="1:10" ht="30" customHeight="1" x14ac:dyDescent="0.35">
      <c r="A3" s="32"/>
      <c r="B3" s="32" t="s">
        <v>46</v>
      </c>
      <c r="C3" s="32" t="s">
        <v>47</v>
      </c>
      <c r="D3" s="32" t="s">
        <v>48</v>
      </c>
      <c r="E3" s="32" t="s">
        <v>49</v>
      </c>
      <c r="F3" s="32" t="s">
        <v>50</v>
      </c>
      <c r="G3" s="32" t="s">
        <v>45</v>
      </c>
      <c r="H3" s="32" t="s">
        <v>87</v>
      </c>
      <c r="I3" s="32" t="s">
        <v>87</v>
      </c>
    </row>
    <row r="4" spans="1:10" ht="35.25" customHeight="1" x14ac:dyDescent="0.35">
      <c r="A4" s="32"/>
      <c r="B4" s="32"/>
      <c r="C4" s="32"/>
      <c r="D4" s="32" t="s">
        <v>51</v>
      </c>
      <c r="E4" s="9">
        <v>44196</v>
      </c>
      <c r="F4" s="10" t="s">
        <v>52</v>
      </c>
      <c r="G4" s="32" t="s">
        <v>53</v>
      </c>
      <c r="H4" s="32" t="s">
        <v>54</v>
      </c>
      <c r="I4" s="10" t="s">
        <v>79</v>
      </c>
    </row>
    <row r="5" spans="1:10" ht="30" customHeight="1" x14ac:dyDescent="0.35">
      <c r="A5" s="8" t="s">
        <v>55</v>
      </c>
      <c r="B5" s="14">
        <v>7</v>
      </c>
      <c r="C5" s="11">
        <v>60000</v>
      </c>
      <c r="D5" s="12">
        <v>0.15</v>
      </c>
      <c r="E5" s="13">
        <f>SUM(E10*D5)</f>
        <v>750</v>
      </c>
      <c r="F5" s="14">
        <v>2</v>
      </c>
      <c r="G5" s="13">
        <f>C5-E5</f>
        <v>59250</v>
      </c>
      <c r="H5" s="13">
        <f>G5/F5</f>
        <v>29625</v>
      </c>
      <c r="I5" s="13">
        <f>SUM(H5*0.2)</f>
        <v>5925</v>
      </c>
    </row>
    <row r="6" spans="1:10" ht="30" customHeight="1" x14ac:dyDescent="0.35">
      <c r="A6" s="8" t="s">
        <v>56</v>
      </c>
      <c r="B6" s="14">
        <v>20</v>
      </c>
      <c r="C6" s="11">
        <v>400000</v>
      </c>
      <c r="D6" s="12">
        <v>0.45</v>
      </c>
      <c r="E6" s="13">
        <f>SUM(E10*D6)</f>
        <v>2250</v>
      </c>
      <c r="F6" s="14">
        <v>7</v>
      </c>
      <c r="G6" s="13">
        <f t="shared" ref="G6:G8" si="0">C6-E6</f>
        <v>397750</v>
      </c>
      <c r="H6" s="13">
        <f>SUM(G6/F6)</f>
        <v>56821.428571428572</v>
      </c>
      <c r="I6" s="13">
        <f>SUM(H6*0.2)</f>
        <v>11364.285714285716</v>
      </c>
    </row>
    <row r="7" spans="1:10" ht="30" customHeight="1" x14ac:dyDescent="0.35">
      <c r="A7" s="8" t="s">
        <v>57</v>
      </c>
      <c r="B7" s="14">
        <v>15</v>
      </c>
      <c r="C7" s="11">
        <v>30000</v>
      </c>
      <c r="D7" s="12">
        <v>0.15</v>
      </c>
      <c r="E7" s="13">
        <f>SUM(E10*D7)</f>
        <v>750</v>
      </c>
      <c r="F7" s="14">
        <v>1</v>
      </c>
      <c r="G7" s="13">
        <f t="shared" si="0"/>
        <v>29250</v>
      </c>
      <c r="H7" s="13">
        <f>SUM(G7/F7)</f>
        <v>29250</v>
      </c>
      <c r="I7" s="13">
        <f>SUM(H7*0.2)</f>
        <v>5850</v>
      </c>
      <c r="J7" s="5"/>
    </row>
    <row r="8" spans="1:10" ht="30" customHeight="1" x14ac:dyDescent="0.35">
      <c r="A8" s="8" t="s">
        <v>71</v>
      </c>
      <c r="B8" s="14">
        <v>10</v>
      </c>
      <c r="C8" s="11">
        <v>30000</v>
      </c>
      <c r="D8" s="12">
        <v>0.2</v>
      </c>
      <c r="E8" s="13">
        <f>SUM(E10*D8)</f>
        <v>1000</v>
      </c>
      <c r="F8" s="14">
        <v>1</v>
      </c>
      <c r="G8" s="13">
        <f t="shared" si="0"/>
        <v>29000</v>
      </c>
      <c r="H8" s="13">
        <f>SUM(G8/F8)</f>
        <v>29000</v>
      </c>
      <c r="I8" s="13">
        <f>SUM(H8*0.2)</f>
        <v>5800</v>
      </c>
      <c r="J8" s="5"/>
    </row>
    <row r="9" spans="1:10" ht="30" customHeight="1" x14ac:dyDescent="0.35">
      <c r="A9" s="8" t="s">
        <v>33</v>
      </c>
      <c r="B9" s="14">
        <v>8</v>
      </c>
      <c r="C9" s="11">
        <v>22000</v>
      </c>
      <c r="D9" s="12">
        <v>0.05</v>
      </c>
      <c r="E9" s="13">
        <f>SUM(E10*D9)</f>
        <v>250</v>
      </c>
      <c r="F9" s="14">
        <v>3</v>
      </c>
      <c r="G9" s="13">
        <f>C9-E9</f>
        <v>21750</v>
      </c>
      <c r="H9" s="13">
        <f>SUM(G9/F9)</f>
        <v>7250</v>
      </c>
      <c r="I9" s="13">
        <f>SUM(H9*0.2)</f>
        <v>1450</v>
      </c>
    </row>
    <row r="10" spans="1:10" ht="30" customHeight="1" x14ac:dyDescent="0.35">
      <c r="A10" s="8" t="s">
        <v>58</v>
      </c>
      <c r="B10" s="32"/>
      <c r="C10" s="15">
        <f>SUM(C5:C7)</f>
        <v>490000</v>
      </c>
      <c r="D10" s="16"/>
      <c r="E10" s="17">
        <v>5000</v>
      </c>
      <c r="F10" s="32"/>
      <c r="G10" s="17">
        <f>C10-E10</f>
        <v>485000</v>
      </c>
      <c r="H10" s="17">
        <f>SUM(H5:H7)</f>
        <v>115696.42857142858</v>
      </c>
      <c r="I10" s="17">
        <f>SUM(I5:I7)</f>
        <v>23139.285714285717</v>
      </c>
    </row>
    <row r="11" spans="1:10" ht="30" customHeight="1" x14ac:dyDescent="0.35">
      <c r="A11" s="7"/>
      <c r="B11" s="7"/>
      <c r="C11" s="7"/>
      <c r="D11" s="7"/>
      <c r="E11" s="7"/>
      <c r="F11" s="7"/>
      <c r="G11" s="7"/>
      <c r="H11" s="7"/>
      <c r="I11" s="7"/>
    </row>
    <row r="12" spans="1:10" ht="34.5" customHeight="1" x14ac:dyDescent="0.3">
      <c r="A12" s="84" t="s">
        <v>59</v>
      </c>
      <c r="B12" s="84"/>
      <c r="C12" s="35" t="s">
        <v>93</v>
      </c>
      <c r="D12" s="35" t="s">
        <v>94</v>
      </c>
      <c r="E12" s="84" t="s">
        <v>60</v>
      </c>
      <c r="F12" s="84"/>
      <c r="G12" s="81" t="s">
        <v>70</v>
      </c>
      <c r="H12" s="83"/>
      <c r="I12" s="36" t="s">
        <v>69</v>
      </c>
      <c r="J12" s="5"/>
    </row>
    <row r="13" spans="1:10" ht="30" customHeight="1" x14ac:dyDescent="0.35">
      <c r="A13" s="72" t="s">
        <v>62</v>
      </c>
      <c r="B13" s="72"/>
      <c r="C13" s="39">
        <v>0.694272</v>
      </c>
      <c r="D13" s="40">
        <v>311.74982400000005</v>
      </c>
      <c r="E13" s="86">
        <f>SUM(H10*C13)/40/12</f>
        <v>167.34331428571429</v>
      </c>
      <c r="F13" s="86"/>
      <c r="G13" s="86">
        <f>SUM(I10*C13)/40/12</f>
        <v>33.468662857142867</v>
      </c>
      <c r="H13" s="86"/>
      <c r="I13" s="18">
        <f>SUM(D13+G13)</f>
        <v>345.21848685714292</v>
      </c>
      <c r="J13" s="6"/>
    </row>
    <row r="14" spans="1:10" ht="30" customHeight="1" x14ac:dyDescent="0.35">
      <c r="A14" s="72" t="s">
        <v>63</v>
      </c>
      <c r="B14" s="72"/>
      <c r="C14" s="39">
        <v>0.305728</v>
      </c>
      <c r="D14" s="40">
        <v>343.20356500000003</v>
      </c>
      <c r="E14" s="75">
        <f>SUM(H10*C14)/16/12</f>
        <v>184.22727976190478</v>
      </c>
      <c r="F14" s="76"/>
      <c r="G14" s="75">
        <f>SUM(I10*C14)/16/12</f>
        <v>36.845455952380959</v>
      </c>
      <c r="H14" s="76"/>
      <c r="I14" s="33">
        <f>SUM(D14+G14)</f>
        <v>380.049020952381</v>
      </c>
    </row>
    <row r="15" spans="1:10" ht="33.75" customHeight="1" x14ac:dyDescent="0.35">
      <c r="A15" s="77" t="s">
        <v>61</v>
      </c>
      <c r="B15" s="78"/>
      <c r="C15" s="78"/>
      <c r="D15" s="106"/>
      <c r="E15" s="79"/>
      <c r="F15" s="79"/>
      <c r="G15" s="79"/>
      <c r="H15" s="79"/>
      <c r="I15" s="21"/>
    </row>
    <row r="16" spans="1:10" ht="18.600000000000001" thickBot="1" x14ac:dyDescent="0.4">
      <c r="A16" s="7"/>
      <c r="B16" s="7"/>
      <c r="C16" s="7"/>
      <c r="D16" s="7"/>
      <c r="E16" s="7"/>
      <c r="F16" s="7"/>
      <c r="G16" s="7"/>
      <c r="H16" s="7"/>
      <c r="I16" s="7"/>
    </row>
    <row r="17" spans="1:12" ht="15" customHeight="1" x14ac:dyDescent="0.3">
      <c r="A17" s="63" t="s">
        <v>80</v>
      </c>
      <c r="B17" s="64"/>
      <c r="C17" s="64"/>
      <c r="D17" s="64"/>
      <c r="E17" s="64"/>
      <c r="F17" s="64"/>
      <c r="G17" s="64"/>
      <c r="H17" s="64"/>
      <c r="I17" s="65"/>
      <c r="J17" s="22"/>
    </row>
    <row r="18" spans="1:12" x14ac:dyDescent="0.3">
      <c r="A18" s="66"/>
      <c r="B18" s="67"/>
      <c r="C18" s="67"/>
      <c r="D18" s="67"/>
      <c r="E18" s="67"/>
      <c r="F18" s="67"/>
      <c r="G18" s="67"/>
      <c r="H18" s="67"/>
      <c r="I18" s="68"/>
      <c r="J18" s="22"/>
    </row>
    <row r="19" spans="1:12" x14ac:dyDescent="0.3">
      <c r="A19" s="66"/>
      <c r="B19" s="67"/>
      <c r="C19" s="67"/>
      <c r="D19" s="67"/>
      <c r="E19" s="67"/>
      <c r="F19" s="67"/>
      <c r="G19" s="67"/>
      <c r="H19" s="67"/>
      <c r="I19" s="68"/>
    </row>
    <row r="20" spans="1:12" x14ac:dyDescent="0.3">
      <c r="A20" s="66"/>
      <c r="B20" s="67"/>
      <c r="C20" s="67"/>
      <c r="D20" s="67"/>
      <c r="E20" s="67"/>
      <c r="F20" s="67"/>
      <c r="G20" s="67"/>
      <c r="H20" s="67"/>
      <c r="I20" s="68"/>
    </row>
    <row r="21" spans="1:12" ht="15" thickBot="1" x14ac:dyDescent="0.35">
      <c r="A21" s="69"/>
      <c r="B21" s="70"/>
      <c r="C21" s="70"/>
      <c r="D21" s="70"/>
      <c r="E21" s="70"/>
      <c r="F21" s="70"/>
      <c r="G21" s="70"/>
      <c r="H21" s="70"/>
      <c r="I21" s="71"/>
    </row>
    <row r="22" spans="1:12" ht="23.4" x14ac:dyDescent="0.3">
      <c r="A22" s="38"/>
      <c r="B22" s="38"/>
      <c r="C22" s="38"/>
      <c r="D22" s="38"/>
      <c r="E22" s="38"/>
      <c r="F22" s="38"/>
      <c r="G22" s="38"/>
      <c r="H22" s="38"/>
      <c r="I22" s="38"/>
    </row>
    <row r="23" spans="1:12" ht="21" x14ac:dyDescent="0.4">
      <c r="A23" s="105" t="s">
        <v>99</v>
      </c>
      <c r="B23" s="105"/>
      <c r="C23" s="105"/>
      <c r="D23" s="105"/>
      <c r="E23" s="105"/>
      <c r="F23" s="105"/>
      <c r="G23" s="105"/>
      <c r="H23" s="43"/>
    </row>
    <row r="24" spans="1:12" ht="63" x14ac:dyDescent="0.4">
      <c r="A24" s="42">
        <v>150000</v>
      </c>
      <c r="B24" s="41" t="s">
        <v>102</v>
      </c>
      <c r="C24" s="41" t="s">
        <v>97</v>
      </c>
      <c r="D24" s="41" t="s">
        <v>89</v>
      </c>
      <c r="E24" s="41" t="s">
        <v>101</v>
      </c>
      <c r="F24" s="105" t="s">
        <v>100</v>
      </c>
      <c r="G24" s="105"/>
    </row>
    <row r="25" spans="1:12" ht="21" x14ac:dyDescent="0.4">
      <c r="A25" s="105" t="s">
        <v>90</v>
      </c>
      <c r="B25" s="105"/>
      <c r="C25" s="41" t="s">
        <v>98</v>
      </c>
      <c r="D25" s="105" t="s">
        <v>91</v>
      </c>
      <c r="E25" s="105"/>
      <c r="F25" s="105" t="s">
        <v>92</v>
      </c>
      <c r="G25" s="105"/>
      <c r="L25">
        <f>255+41.65</f>
        <v>296.64999999999998</v>
      </c>
    </row>
    <row r="26" spans="1:12" ht="42" x14ac:dyDescent="0.4">
      <c r="A26" s="41" t="s">
        <v>96</v>
      </c>
      <c r="B26" s="41">
        <v>3193.6511999999998</v>
      </c>
      <c r="C26" s="41">
        <v>0.694272</v>
      </c>
      <c r="D26" s="103">
        <v>53.227519999999998</v>
      </c>
      <c r="E26" s="104"/>
      <c r="F26" s="103">
        <v>2603.52</v>
      </c>
      <c r="G26" s="104"/>
    </row>
    <row r="27" spans="1:12" ht="42" x14ac:dyDescent="0.4">
      <c r="A27" s="41" t="s">
        <v>95</v>
      </c>
      <c r="B27" s="41">
        <v>3515.8719999999998</v>
      </c>
      <c r="C27" s="41">
        <v>0.305728</v>
      </c>
      <c r="D27" s="103">
        <v>58.597866666666661</v>
      </c>
      <c r="E27" s="104"/>
      <c r="F27" s="103">
        <v>2866.2</v>
      </c>
      <c r="G27" s="104"/>
    </row>
  </sheetData>
  <mergeCells count="23">
    <mergeCell ref="F27:G27"/>
    <mergeCell ref="D27:E27"/>
    <mergeCell ref="A25:B25"/>
    <mergeCell ref="A14:B14"/>
    <mergeCell ref="E14:F14"/>
    <mergeCell ref="G14:H14"/>
    <mergeCell ref="E15:F15"/>
    <mergeCell ref="D26:E26"/>
    <mergeCell ref="F26:G26"/>
    <mergeCell ref="G15:H15"/>
    <mergeCell ref="A15:D15"/>
    <mergeCell ref="A23:G23"/>
    <mergeCell ref="F24:G24"/>
    <mergeCell ref="D25:E25"/>
    <mergeCell ref="F25:G25"/>
    <mergeCell ref="A17:I21"/>
    <mergeCell ref="A1:H1"/>
    <mergeCell ref="E12:F12"/>
    <mergeCell ref="G12:H12"/>
    <mergeCell ref="A13:B13"/>
    <mergeCell ref="E13:F13"/>
    <mergeCell ref="G13:H13"/>
    <mergeCell ref="A12:B12"/>
  </mergeCells>
  <pageMargins left="0.25" right="0.25" top="0.75" bottom="0.75" header="0.3" footer="0.3"/>
  <pageSetup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839D-7D0A-4DEF-BF38-72660F86DA71}">
  <dimension ref="A1:N56"/>
  <sheetViews>
    <sheetView zoomScale="69" zoomScaleNormal="69" workbookViewId="0">
      <selection activeCell="D51" sqref="A1:D51"/>
    </sheetView>
  </sheetViews>
  <sheetFormatPr defaultRowHeight="14.4" x14ac:dyDescent="0.3"/>
  <cols>
    <col min="1" max="1" width="24.77734375" bestFit="1" customWidth="1"/>
    <col min="2" max="2" width="33.77734375" bestFit="1" customWidth="1"/>
    <col min="3" max="3" width="24.5546875" bestFit="1" customWidth="1"/>
    <col min="4" max="4" width="24.21875" bestFit="1" customWidth="1"/>
    <col min="6" max="6" width="3" customWidth="1"/>
    <col min="7" max="7" width="13.44140625" bestFit="1" customWidth="1"/>
    <col min="8" max="8" width="11.21875" bestFit="1" customWidth="1"/>
    <col min="9" max="10" width="9.21875" bestFit="1" customWidth="1"/>
    <col min="11" max="11" width="9.44140625" bestFit="1" customWidth="1"/>
    <col min="12" max="12" width="13.21875" bestFit="1" customWidth="1"/>
    <col min="13" max="13" width="17.77734375" bestFit="1" customWidth="1"/>
    <col min="14" max="15" width="11.21875" bestFit="1" customWidth="1"/>
  </cols>
  <sheetData>
    <row r="1" spans="1:7" ht="18" x14ac:dyDescent="0.35">
      <c r="A1" s="61" t="s">
        <v>0</v>
      </c>
      <c r="B1" s="61"/>
      <c r="C1" s="61"/>
      <c r="D1" s="61"/>
    </row>
    <row r="2" spans="1:7" ht="18" x14ac:dyDescent="0.35">
      <c r="A2" s="61" t="s">
        <v>112</v>
      </c>
      <c r="B2" s="61"/>
      <c r="C2" s="61"/>
      <c r="D2" s="61"/>
    </row>
    <row r="3" spans="1:7" ht="18" x14ac:dyDescent="0.35">
      <c r="A3" s="61" t="s">
        <v>111</v>
      </c>
      <c r="B3" s="61"/>
      <c r="C3" s="61"/>
      <c r="D3" s="61"/>
    </row>
    <row r="4" spans="1:7" ht="18" x14ac:dyDescent="0.35">
      <c r="A4" s="7"/>
      <c r="B4" s="23"/>
      <c r="C4" s="23"/>
      <c r="D4" s="23"/>
    </row>
    <row r="5" spans="1:7" x14ac:dyDescent="0.3">
      <c r="B5" s="62" t="s">
        <v>108</v>
      </c>
      <c r="C5" s="62" t="s">
        <v>107</v>
      </c>
      <c r="D5" s="62" t="s">
        <v>109</v>
      </c>
    </row>
    <row r="6" spans="1:7" x14ac:dyDescent="0.3">
      <c r="B6" s="62"/>
      <c r="C6" s="62"/>
      <c r="D6" s="62"/>
    </row>
    <row r="7" spans="1:7" x14ac:dyDescent="0.3">
      <c r="A7" s="2" t="s">
        <v>1</v>
      </c>
      <c r="B7" s="1"/>
      <c r="C7" s="1"/>
      <c r="D7" s="1"/>
    </row>
    <row r="8" spans="1:7" ht="18" x14ac:dyDescent="0.35">
      <c r="A8" t="s">
        <v>2</v>
      </c>
      <c r="B8" s="24">
        <v>213600</v>
      </c>
      <c r="C8" s="24">
        <v>217000</v>
      </c>
      <c r="D8" s="24">
        <f>224640</f>
        <v>224640</v>
      </c>
    </row>
    <row r="9" spans="1:7" ht="18" x14ac:dyDescent="0.35">
      <c r="A9" t="s">
        <v>3</v>
      </c>
      <c r="B9" s="24">
        <v>235</v>
      </c>
      <c r="C9" s="24">
        <v>100</v>
      </c>
      <c r="D9" s="24">
        <v>235</v>
      </c>
    </row>
    <row r="10" spans="1:7" ht="18" x14ac:dyDescent="0.35">
      <c r="A10" t="s">
        <v>117</v>
      </c>
      <c r="B10" s="24">
        <v>0</v>
      </c>
      <c r="C10" s="24">
        <v>30000</v>
      </c>
      <c r="D10" s="24">
        <f>60*40*12</f>
        <v>28800</v>
      </c>
    </row>
    <row r="11" spans="1:7" ht="18" x14ac:dyDescent="0.35">
      <c r="A11" t="s">
        <v>116</v>
      </c>
      <c r="B11" s="24">
        <v>0</v>
      </c>
      <c r="C11" s="24">
        <v>0</v>
      </c>
      <c r="D11" s="24">
        <f>SUM('reserves 2023'!I11)</f>
        <v>15226.666666666668</v>
      </c>
    </row>
    <row r="12" spans="1:7" ht="18.600000000000001" thickBot="1" x14ac:dyDescent="0.4">
      <c r="A12" t="s">
        <v>5</v>
      </c>
      <c r="B12" s="25">
        <v>1700</v>
      </c>
      <c r="C12" s="25">
        <v>1700</v>
      </c>
      <c r="D12" s="25">
        <v>1700</v>
      </c>
    </row>
    <row r="13" spans="1:7" ht="18" x14ac:dyDescent="0.35">
      <c r="A13" s="2" t="s">
        <v>4</v>
      </c>
      <c r="B13" s="26">
        <f>SUM(B8:B12)</f>
        <v>215535</v>
      </c>
      <c r="C13" s="26">
        <f>SUM(C8:C12)</f>
        <v>248800</v>
      </c>
      <c r="D13" s="26">
        <f>SUM(D8:D12)</f>
        <v>270601.66666666669</v>
      </c>
      <c r="G13" s="6">
        <f>SUM(D8+D9+D12)</f>
        <v>226575</v>
      </c>
    </row>
    <row r="14" spans="1:7" ht="18" x14ac:dyDescent="0.35">
      <c r="A14" s="2" t="s">
        <v>6</v>
      </c>
      <c r="B14" s="24"/>
      <c r="C14" s="24"/>
      <c r="D14" s="24"/>
      <c r="G14" s="6">
        <f>G13-D47</f>
        <v>-44026.666666666686</v>
      </c>
    </row>
    <row r="15" spans="1:7" ht="18" x14ac:dyDescent="0.35">
      <c r="A15" s="2" t="s">
        <v>7</v>
      </c>
      <c r="B15" s="24"/>
      <c r="C15" s="24"/>
      <c r="D15" s="24"/>
    </row>
    <row r="16" spans="1:7" ht="18" x14ac:dyDescent="0.35">
      <c r="A16" t="s">
        <v>8</v>
      </c>
      <c r="B16" s="24">
        <v>320</v>
      </c>
      <c r="C16" s="24">
        <v>325</v>
      </c>
      <c r="D16" s="24">
        <v>325</v>
      </c>
    </row>
    <row r="17" spans="1:13" ht="18" x14ac:dyDescent="0.35">
      <c r="A17" t="s">
        <v>9</v>
      </c>
      <c r="B17" s="24">
        <v>77815</v>
      </c>
      <c r="C17" s="24">
        <v>90000</v>
      </c>
      <c r="D17" s="24">
        <v>102350</v>
      </c>
    </row>
    <row r="18" spans="1:13" ht="18" x14ac:dyDescent="0.35">
      <c r="A18" t="s">
        <v>10</v>
      </c>
      <c r="B18" s="24">
        <v>1500</v>
      </c>
      <c r="C18" s="24">
        <v>13000</v>
      </c>
      <c r="D18" s="24">
        <v>2000</v>
      </c>
    </row>
    <row r="19" spans="1:13" ht="18" x14ac:dyDescent="0.35">
      <c r="A19" t="s">
        <v>11</v>
      </c>
      <c r="B19" s="24">
        <v>700</v>
      </c>
      <c r="C19" s="24">
        <v>5200</v>
      </c>
      <c r="D19" s="24">
        <v>1200</v>
      </c>
    </row>
    <row r="20" spans="1:13" ht="18" x14ac:dyDescent="0.35">
      <c r="A20" t="s">
        <v>118</v>
      </c>
      <c r="B20" s="24">
        <v>0</v>
      </c>
      <c r="C20" s="24">
        <v>28000</v>
      </c>
      <c r="D20" s="24">
        <v>28000</v>
      </c>
    </row>
    <row r="21" spans="1:13" ht="18" x14ac:dyDescent="0.35">
      <c r="A21" t="s">
        <v>12</v>
      </c>
      <c r="B21" s="24">
        <v>1200</v>
      </c>
      <c r="C21" s="24">
        <v>1300</v>
      </c>
      <c r="D21" s="24">
        <v>1200</v>
      </c>
    </row>
    <row r="22" spans="1:13" ht="18" x14ac:dyDescent="0.35">
      <c r="A22" t="s">
        <v>13</v>
      </c>
      <c r="B22" s="24">
        <v>200</v>
      </c>
      <c r="C22" s="24">
        <v>350</v>
      </c>
      <c r="D22" s="24">
        <v>200</v>
      </c>
    </row>
    <row r="23" spans="1:13" ht="18.600000000000001" thickBot="1" x14ac:dyDescent="0.4">
      <c r="A23" t="s">
        <v>15</v>
      </c>
      <c r="B23" s="25">
        <v>7800</v>
      </c>
      <c r="C23" s="25">
        <f>650*12</f>
        <v>7800</v>
      </c>
      <c r="D23" s="25">
        <v>7800</v>
      </c>
    </row>
    <row r="24" spans="1:13" ht="18" x14ac:dyDescent="0.35">
      <c r="A24" s="2" t="s">
        <v>14</v>
      </c>
      <c r="B24" s="26">
        <f>SUM(B16:B23)</f>
        <v>89535</v>
      </c>
      <c r="C24" s="26">
        <f>SUM(C16:C23)</f>
        <v>145975</v>
      </c>
      <c r="D24" s="26">
        <f>SUM(D16:D23)</f>
        <v>143075</v>
      </c>
    </row>
    <row r="25" spans="1:13" ht="18" x14ac:dyDescent="0.35">
      <c r="A25" s="2" t="s">
        <v>16</v>
      </c>
      <c r="B25" s="24"/>
      <c r="C25" s="24"/>
      <c r="D25" s="24"/>
    </row>
    <row r="26" spans="1:13" ht="18" x14ac:dyDescent="0.35">
      <c r="A26" t="s">
        <v>20</v>
      </c>
      <c r="B26" s="24">
        <v>18500</v>
      </c>
      <c r="C26" s="24">
        <v>14400</v>
      </c>
      <c r="D26" s="24">
        <v>14400</v>
      </c>
    </row>
    <row r="27" spans="1:13" ht="25.8" x14ac:dyDescent="0.5">
      <c r="A27" t="s">
        <v>17</v>
      </c>
      <c r="B27" s="24">
        <v>4000</v>
      </c>
      <c r="C27" s="24">
        <v>3700</v>
      </c>
      <c r="D27" s="24">
        <v>4000</v>
      </c>
      <c r="L27" s="44">
        <f>17.6</f>
        <v>17.600000000000001</v>
      </c>
      <c r="M27" s="45">
        <f>SUM(D47*0.0176)/12</f>
        <v>396.8824444444445</v>
      </c>
    </row>
    <row r="28" spans="1:13" ht="25.8" x14ac:dyDescent="0.5">
      <c r="A28" t="s">
        <v>18</v>
      </c>
      <c r="B28" s="24">
        <v>8000</v>
      </c>
      <c r="C28" s="24">
        <v>5600</v>
      </c>
      <c r="D28" s="24">
        <v>5500</v>
      </c>
      <c r="L28" s="44">
        <f>82.4</f>
        <v>82.4</v>
      </c>
      <c r="M28" s="45">
        <f>SUM(D47*0.0824)/12</f>
        <v>1858.1314444444445</v>
      </c>
    </row>
    <row r="29" spans="1:13" ht="18" x14ac:dyDescent="0.35">
      <c r="A29" t="s">
        <v>36</v>
      </c>
      <c r="B29" s="24">
        <v>1300</v>
      </c>
      <c r="C29" s="24">
        <v>2100</v>
      </c>
      <c r="D29" s="24">
        <v>2100</v>
      </c>
    </row>
    <row r="30" spans="1:13" ht="18" x14ac:dyDescent="0.35">
      <c r="A30" t="s">
        <v>37</v>
      </c>
      <c r="B30" s="24">
        <v>5200</v>
      </c>
      <c r="C30" s="24">
        <v>22500</v>
      </c>
      <c r="D30" s="24">
        <v>6000</v>
      </c>
      <c r="I30">
        <v>70</v>
      </c>
    </row>
    <row r="31" spans="1:13" ht="18.600000000000001" thickBot="1" x14ac:dyDescent="0.4">
      <c r="A31" t="s">
        <v>19</v>
      </c>
      <c r="B31" s="25">
        <v>500</v>
      </c>
      <c r="C31" s="25">
        <v>500</v>
      </c>
      <c r="D31" s="25">
        <v>500</v>
      </c>
    </row>
    <row r="32" spans="1:13" ht="18" x14ac:dyDescent="0.35">
      <c r="A32" s="2" t="s">
        <v>21</v>
      </c>
      <c r="B32" s="26">
        <f>SUM(B26:B31)</f>
        <v>37500</v>
      </c>
      <c r="C32" s="26">
        <f>SUM(C26:C31)</f>
        <v>48800</v>
      </c>
      <c r="D32" s="26">
        <f>SUM(D26:D31)</f>
        <v>32500</v>
      </c>
    </row>
    <row r="33" spans="1:14" ht="18" x14ac:dyDescent="0.35">
      <c r="A33" s="2" t="s">
        <v>22</v>
      </c>
      <c r="B33" s="24"/>
      <c r="C33" s="24"/>
      <c r="D33" s="24"/>
      <c r="M33">
        <f>39</f>
        <v>39</v>
      </c>
    </row>
    <row r="34" spans="1:14" ht="18" x14ac:dyDescent="0.35">
      <c r="A34" t="s">
        <v>23</v>
      </c>
      <c r="B34" s="24">
        <v>6000</v>
      </c>
      <c r="C34" s="24">
        <v>7500</v>
      </c>
      <c r="D34" s="24">
        <v>7500</v>
      </c>
      <c r="K34">
        <v>1</v>
      </c>
      <c r="L34">
        <v>1</v>
      </c>
      <c r="M34">
        <f>29</f>
        <v>29</v>
      </c>
    </row>
    <row r="35" spans="1:14" ht="18.600000000000001" thickBot="1" x14ac:dyDescent="0.4">
      <c r="A35" t="s">
        <v>24</v>
      </c>
      <c r="B35" s="25">
        <v>500</v>
      </c>
      <c r="C35" s="25">
        <v>0</v>
      </c>
      <c r="D35" s="25">
        <v>500</v>
      </c>
      <c r="M35">
        <f>SUM(M34/M33)</f>
        <v>0.74358974358974361</v>
      </c>
      <c r="N35">
        <f>SUM(M33/M34)</f>
        <v>1.3448275862068966</v>
      </c>
    </row>
    <row r="36" spans="1:14" ht="18" x14ac:dyDescent="0.35">
      <c r="A36" s="2" t="s">
        <v>25</v>
      </c>
      <c r="B36" s="26">
        <f>SUM(B34:B35)</f>
        <v>6500</v>
      </c>
      <c r="C36" s="26">
        <f>SUM(C34:C35)</f>
        <v>7500</v>
      </c>
      <c r="D36" s="26">
        <f>SUM(D34:D35)</f>
        <v>8000</v>
      </c>
      <c r="N36">
        <f>N35*40</f>
        <v>53.793103448275865</v>
      </c>
    </row>
    <row r="37" spans="1:14" ht="18" x14ac:dyDescent="0.35">
      <c r="A37" s="2" t="s">
        <v>26</v>
      </c>
      <c r="B37" s="24"/>
      <c r="C37" s="24"/>
      <c r="D37" s="24"/>
      <c r="N37">
        <f>100-N36</f>
        <v>46.206896551724135</v>
      </c>
    </row>
    <row r="38" spans="1:14" ht="18" x14ac:dyDescent="0.35">
      <c r="A38" t="s">
        <v>34</v>
      </c>
      <c r="B38" s="24">
        <v>4200</v>
      </c>
      <c r="C38" s="24">
        <v>4600</v>
      </c>
      <c r="D38" s="24">
        <v>4600</v>
      </c>
    </row>
    <row r="39" spans="1:14" ht="18.600000000000001" thickBot="1" x14ac:dyDescent="0.4">
      <c r="A39" t="s">
        <v>27</v>
      </c>
      <c r="B39" s="25">
        <v>3200</v>
      </c>
      <c r="C39" s="25">
        <v>5500</v>
      </c>
      <c r="D39" s="25">
        <v>3200</v>
      </c>
      <c r="H39">
        <f>320*40*12</f>
        <v>153600</v>
      </c>
    </row>
    <row r="40" spans="1:14" ht="18" x14ac:dyDescent="0.35">
      <c r="A40" s="2" t="s">
        <v>28</v>
      </c>
      <c r="B40" s="26">
        <f>SUM(B38:B39)</f>
        <v>7400</v>
      </c>
      <c r="C40" s="26">
        <f>SUM(C38:C39)</f>
        <v>10100</v>
      </c>
      <c r="D40" s="26">
        <f>SUM(D38:D39)</f>
        <v>7800</v>
      </c>
      <c r="H40" s="51">
        <f>D51*16*12</f>
        <v>71040</v>
      </c>
      <c r="J40">
        <f>16/40</f>
        <v>0.4</v>
      </c>
    </row>
    <row r="41" spans="1:14" ht="18" x14ac:dyDescent="0.35">
      <c r="A41" s="2" t="s">
        <v>29</v>
      </c>
      <c r="B41" s="24"/>
      <c r="C41" s="24"/>
      <c r="D41" s="24"/>
      <c r="H41">
        <f>SUM(H39:H40)</f>
        <v>224640</v>
      </c>
    </row>
    <row r="42" spans="1:14" ht="18" x14ac:dyDescent="0.35">
      <c r="A42" t="s">
        <v>30</v>
      </c>
      <c r="B42" s="24">
        <v>24000</v>
      </c>
      <c r="C42" s="24">
        <v>24000</v>
      </c>
      <c r="D42" s="24">
        <v>24000</v>
      </c>
    </row>
    <row r="43" spans="1:14" ht="18" x14ac:dyDescent="0.35">
      <c r="A43" t="s">
        <v>31</v>
      </c>
      <c r="B43" s="24">
        <v>38000</v>
      </c>
      <c r="C43" s="24">
        <v>52000</v>
      </c>
      <c r="D43" s="24">
        <v>34000</v>
      </c>
    </row>
    <row r="44" spans="1:14" ht="18.600000000000001" thickBot="1" x14ac:dyDescent="0.4">
      <c r="A44" t="s">
        <v>32</v>
      </c>
      <c r="B44" s="25">
        <v>6000</v>
      </c>
      <c r="C44" s="25">
        <v>6600</v>
      </c>
      <c r="D44" s="25">
        <v>6000</v>
      </c>
    </row>
    <row r="45" spans="1:14" ht="18.600000000000001" thickBot="1" x14ac:dyDescent="0.4">
      <c r="A45" t="s">
        <v>116</v>
      </c>
      <c r="B45" s="24">
        <v>0</v>
      </c>
      <c r="C45" s="24">
        <v>0</v>
      </c>
      <c r="D45" s="24">
        <f>SUM('reserves 2023'!I11)</f>
        <v>15226.666666666668</v>
      </c>
    </row>
    <row r="46" spans="1:14" ht="18.600000000000001" thickBot="1" x14ac:dyDescent="0.4">
      <c r="A46" s="2" t="s">
        <v>35</v>
      </c>
      <c r="B46" s="27">
        <f>SUM(B42:B45)</f>
        <v>68000</v>
      </c>
      <c r="C46" s="27">
        <f>SUM(C42:C45)</f>
        <v>82600</v>
      </c>
      <c r="D46" s="27">
        <f>D42+D43+D44</f>
        <v>64000</v>
      </c>
    </row>
    <row r="47" spans="1:14" ht="18.600000000000001" thickTop="1" x14ac:dyDescent="0.35">
      <c r="A47" t="s">
        <v>38</v>
      </c>
      <c r="B47" s="26">
        <f>SUM(B46+B40+B36+B32+B24)</f>
        <v>208935</v>
      </c>
      <c r="C47" s="26">
        <f>SUM(C46+C40+C36+C32+C24)</f>
        <v>294975</v>
      </c>
      <c r="D47" s="26">
        <f>SUM(D46+D40+D36+D32+D24+D45)</f>
        <v>270601.66666666669</v>
      </c>
      <c r="M47">
        <f>M48*40</f>
        <v>0.694272</v>
      </c>
    </row>
    <row r="48" spans="1:14" x14ac:dyDescent="0.3">
      <c r="B48" s="3"/>
      <c r="C48" s="3"/>
      <c r="D48" s="3"/>
      <c r="M48">
        <v>1.7356799999999999E-2</v>
      </c>
    </row>
    <row r="49" spans="1:12" ht="18" x14ac:dyDescent="0.3">
      <c r="A49" s="84" t="s">
        <v>59</v>
      </c>
      <c r="B49" s="84"/>
      <c r="C49" s="84"/>
      <c r="D49" s="84"/>
      <c r="H49">
        <v>1</v>
      </c>
      <c r="I49">
        <v>0.74868000000000001</v>
      </c>
      <c r="J49">
        <f>I49/56</f>
        <v>1.3369285714285714E-2</v>
      </c>
      <c r="K49" s="6">
        <f>SUM(D47*M47)/40/12</f>
        <v>391.39825066666668</v>
      </c>
      <c r="L49" s="6">
        <f>K49*40*12</f>
        <v>187871.16032</v>
      </c>
    </row>
    <row r="50" spans="1:12" ht="27.75" customHeight="1" x14ac:dyDescent="0.3">
      <c r="A50" s="84" t="s">
        <v>62</v>
      </c>
      <c r="B50" s="84"/>
      <c r="C50" s="84" t="s">
        <v>113</v>
      </c>
      <c r="D50" s="50">
        <v>320</v>
      </c>
      <c r="E50">
        <v>320</v>
      </c>
      <c r="G50" s="6">
        <f>(D47*0.0517931)/12</f>
        <v>1167.9415984861112</v>
      </c>
      <c r="H50">
        <v>2</v>
      </c>
      <c r="I50">
        <v>0.25131999999999999</v>
      </c>
      <c r="J50">
        <f>I50/16</f>
        <v>1.5707499999999999E-2</v>
      </c>
      <c r="K50" s="6">
        <f>SUM(D47*J51)/16/12</f>
        <v>430.88805388888892</v>
      </c>
      <c r="L50" s="6">
        <f>K50*12*16</f>
        <v>82730.506346666676</v>
      </c>
    </row>
    <row r="51" spans="1:12" ht="25.5" customHeight="1" x14ac:dyDescent="0.3">
      <c r="A51" s="84" t="s">
        <v>63</v>
      </c>
      <c r="B51" s="84"/>
      <c r="C51" s="84"/>
      <c r="D51" s="50">
        <v>370</v>
      </c>
      <c r="E51">
        <v>370</v>
      </c>
      <c r="G51" s="6">
        <f>SUM(D47*0.462069)/16/12</f>
        <v>651.23250789062502</v>
      </c>
      <c r="J51">
        <v>0.305728</v>
      </c>
    </row>
    <row r="54" spans="1:12" x14ac:dyDescent="0.3">
      <c r="G54">
        <f>20*40*12</f>
        <v>9600</v>
      </c>
      <c r="H54" s="51">
        <f>SUM(D50*12*40)</f>
        <v>153600</v>
      </c>
    </row>
    <row r="55" spans="1:12" x14ac:dyDescent="0.3">
      <c r="G55">
        <f>16*30*12</f>
        <v>5760</v>
      </c>
      <c r="H55" s="51">
        <f>SUM(D51*12*16)</f>
        <v>71040</v>
      </c>
    </row>
    <row r="56" spans="1:12" x14ac:dyDescent="0.3">
      <c r="G56">
        <f>SUM(G54:G55)</f>
        <v>15360</v>
      </c>
      <c r="H56" s="51">
        <f>H54+H55</f>
        <v>224640</v>
      </c>
    </row>
  </sheetData>
  <mergeCells count="10">
    <mergeCell ref="A49:D49"/>
    <mergeCell ref="A50:B50"/>
    <mergeCell ref="A51:B51"/>
    <mergeCell ref="A1:D1"/>
    <mergeCell ref="A2:D2"/>
    <mergeCell ref="A3:D3"/>
    <mergeCell ref="B5:B6"/>
    <mergeCell ref="C5:C6"/>
    <mergeCell ref="D5:D6"/>
    <mergeCell ref="C50:C51"/>
  </mergeCells>
  <pageMargins left="0.7" right="0.7" top="0.75" bottom="0.75" header="0.3" footer="0.3"/>
  <pageSetup scale="69" orientation="portrait" r:id="rId1"/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8F40-B5F6-49B9-AFBE-246B062BEB27}">
  <dimension ref="A1:M25"/>
  <sheetViews>
    <sheetView zoomScale="82" zoomScaleNormal="82" workbookViewId="0">
      <selection activeCell="I16" sqref="I16"/>
    </sheetView>
  </sheetViews>
  <sheetFormatPr defaultColWidth="8.77734375" defaultRowHeight="14.4" x14ac:dyDescent="0.3"/>
  <cols>
    <col min="1" max="1" width="19.5546875" bestFit="1" customWidth="1"/>
    <col min="2" max="2" width="15" customWidth="1"/>
    <col min="3" max="3" width="17.5546875" bestFit="1" customWidth="1"/>
    <col min="4" max="4" width="15.44140625" bestFit="1" customWidth="1"/>
    <col min="5" max="5" width="16.44140625" bestFit="1" customWidth="1"/>
    <col min="6" max="6" width="12.5546875" bestFit="1" customWidth="1"/>
    <col min="7" max="7" width="17.5546875" bestFit="1" customWidth="1"/>
    <col min="8" max="8" width="19" bestFit="1" customWidth="1"/>
    <col min="9" max="9" width="22.44140625" customWidth="1"/>
    <col min="10" max="10" width="25.44140625" customWidth="1"/>
    <col min="11" max="11" width="10.5546875" bestFit="1" customWidth="1"/>
  </cols>
  <sheetData>
    <row r="1" spans="1:13" ht="30" customHeight="1" x14ac:dyDescent="0.35">
      <c r="A1" s="80" t="s">
        <v>105</v>
      </c>
      <c r="B1" s="80"/>
      <c r="C1" s="80"/>
      <c r="D1" s="80"/>
      <c r="E1" s="80"/>
      <c r="F1" s="80"/>
      <c r="G1" s="80"/>
      <c r="H1" s="80"/>
      <c r="I1" s="7"/>
    </row>
    <row r="2" spans="1:13" ht="30" customHeight="1" x14ac:dyDescent="0.35">
      <c r="A2" s="32" t="s">
        <v>39</v>
      </c>
      <c r="B2" s="32" t="s">
        <v>40</v>
      </c>
      <c r="C2" s="32" t="s">
        <v>40</v>
      </c>
      <c r="D2" s="32" t="s">
        <v>41</v>
      </c>
      <c r="E2" s="32" t="s">
        <v>42</v>
      </c>
      <c r="F2" s="32" t="s">
        <v>43</v>
      </c>
      <c r="G2" s="32" t="s">
        <v>44</v>
      </c>
      <c r="H2" s="32" t="s">
        <v>45</v>
      </c>
      <c r="I2" s="8"/>
    </row>
    <row r="3" spans="1:13" ht="30" customHeight="1" x14ac:dyDescent="0.35">
      <c r="A3" s="32"/>
      <c r="B3" s="32" t="s">
        <v>46</v>
      </c>
      <c r="C3" s="32" t="s">
        <v>47</v>
      </c>
      <c r="D3" s="32" t="s">
        <v>48</v>
      </c>
      <c r="E3" s="32" t="s">
        <v>49</v>
      </c>
      <c r="F3" s="32" t="s">
        <v>50</v>
      </c>
      <c r="G3" s="32" t="s">
        <v>45</v>
      </c>
      <c r="H3" s="32" t="s">
        <v>106</v>
      </c>
      <c r="I3" s="32" t="s">
        <v>106</v>
      </c>
    </row>
    <row r="4" spans="1:13" ht="35.25" customHeight="1" x14ac:dyDescent="0.35">
      <c r="A4" s="32"/>
      <c r="B4" s="32"/>
      <c r="C4" s="32"/>
      <c r="D4" s="32" t="s">
        <v>51</v>
      </c>
      <c r="E4" s="9">
        <v>44926</v>
      </c>
      <c r="F4" s="10" t="s">
        <v>52</v>
      </c>
      <c r="G4" s="32" t="s">
        <v>53</v>
      </c>
      <c r="H4" s="32" t="s">
        <v>54</v>
      </c>
      <c r="I4" s="10" t="s">
        <v>114</v>
      </c>
    </row>
    <row r="5" spans="1:13" ht="30" customHeight="1" x14ac:dyDescent="0.35">
      <c r="A5" s="8" t="s">
        <v>55</v>
      </c>
      <c r="B5" s="14">
        <v>8</v>
      </c>
      <c r="C5" s="11">
        <v>60000</v>
      </c>
      <c r="D5" s="12">
        <v>0.15</v>
      </c>
      <c r="E5" s="13">
        <f>SUM(E11*D5)</f>
        <v>0</v>
      </c>
      <c r="F5" s="14">
        <v>8</v>
      </c>
      <c r="G5" s="13">
        <f>C5-E5</f>
        <v>60000</v>
      </c>
      <c r="H5" s="13">
        <f>G5/F5</f>
        <v>7500</v>
      </c>
      <c r="I5" s="13">
        <f t="shared" ref="I5:I10" si="0">SUM(H5*0.16)</f>
        <v>1200</v>
      </c>
    </row>
    <row r="6" spans="1:13" ht="30" customHeight="1" x14ac:dyDescent="0.35">
      <c r="A6" s="8" t="s">
        <v>110</v>
      </c>
      <c r="B6" s="14">
        <v>10</v>
      </c>
      <c r="C6" s="11">
        <v>60000</v>
      </c>
      <c r="D6" s="12">
        <v>0.1</v>
      </c>
      <c r="E6" s="13">
        <v>0</v>
      </c>
      <c r="F6" s="14">
        <v>10</v>
      </c>
      <c r="G6" s="13">
        <v>60000</v>
      </c>
      <c r="H6" s="13">
        <f>SUM(G6/F6)</f>
        <v>6000</v>
      </c>
      <c r="I6" s="13">
        <f t="shared" si="0"/>
        <v>960</v>
      </c>
    </row>
    <row r="7" spans="1:13" ht="30" customHeight="1" x14ac:dyDescent="0.35">
      <c r="A7" s="8" t="s">
        <v>56</v>
      </c>
      <c r="B7" s="14">
        <v>20</v>
      </c>
      <c r="C7" s="11">
        <v>400000</v>
      </c>
      <c r="D7" s="12">
        <v>0.4</v>
      </c>
      <c r="E7" s="13">
        <f>SUM(E11*D7)</f>
        <v>0</v>
      </c>
      <c r="F7" s="14">
        <v>6</v>
      </c>
      <c r="G7" s="13">
        <f t="shared" ref="G7:G9" si="1">C7-E7</f>
        <v>400000</v>
      </c>
      <c r="H7" s="13">
        <f>SUM(G7/F7)</f>
        <v>66666.666666666672</v>
      </c>
      <c r="I7" s="13">
        <f t="shared" si="0"/>
        <v>10666.666666666668</v>
      </c>
    </row>
    <row r="8" spans="1:13" ht="30" customHeight="1" x14ac:dyDescent="0.35">
      <c r="A8" s="8" t="s">
        <v>57</v>
      </c>
      <c r="B8" s="14">
        <v>15</v>
      </c>
      <c r="C8" s="11">
        <v>30000</v>
      </c>
      <c r="D8" s="12">
        <v>0.15</v>
      </c>
      <c r="E8" s="13">
        <f>SUM(E11*D8)</f>
        <v>0</v>
      </c>
      <c r="F8" s="14">
        <v>2</v>
      </c>
      <c r="G8" s="13">
        <f t="shared" si="1"/>
        <v>30000</v>
      </c>
      <c r="H8" s="13">
        <f>SUM(G8/F8)</f>
        <v>15000</v>
      </c>
      <c r="I8" s="13">
        <f t="shared" si="0"/>
        <v>2400</v>
      </c>
      <c r="J8" s="5"/>
      <c r="K8" s="5">
        <f>H11*0.16</f>
        <v>15226.666666666668</v>
      </c>
    </row>
    <row r="9" spans="1:13" ht="30" customHeight="1" x14ac:dyDescent="0.35">
      <c r="A9" s="8" t="s">
        <v>71</v>
      </c>
      <c r="B9" s="14">
        <v>10</v>
      </c>
      <c r="C9" s="11">
        <v>30000</v>
      </c>
      <c r="D9" s="12">
        <v>0.15</v>
      </c>
      <c r="E9" s="13">
        <f>SUM(E11*D9)</f>
        <v>0</v>
      </c>
      <c r="F9" s="14">
        <v>2</v>
      </c>
      <c r="G9" s="13">
        <f t="shared" si="1"/>
        <v>30000</v>
      </c>
      <c r="H9" s="13">
        <f>SUM(G9/F9)</f>
        <v>15000</v>
      </c>
      <c r="I9" s="13">
        <f t="shared" si="0"/>
        <v>2400</v>
      </c>
      <c r="J9" s="5"/>
    </row>
    <row r="10" spans="1:13" ht="30" customHeight="1" x14ac:dyDescent="0.35">
      <c r="A10" s="8" t="s">
        <v>33</v>
      </c>
      <c r="B10" s="14">
        <v>8</v>
      </c>
      <c r="C10" s="11">
        <v>22000</v>
      </c>
      <c r="D10" s="12">
        <v>0.05</v>
      </c>
      <c r="E10" s="13">
        <f>SUM(E11*D10)</f>
        <v>0</v>
      </c>
      <c r="F10" s="14">
        <v>8</v>
      </c>
      <c r="G10" s="13">
        <f>C10-E10</f>
        <v>22000</v>
      </c>
      <c r="H10" s="13">
        <f>SUM(G10/F10)</f>
        <v>2750</v>
      </c>
      <c r="I10" s="13">
        <f t="shared" si="0"/>
        <v>440</v>
      </c>
    </row>
    <row r="11" spans="1:13" ht="30" customHeight="1" x14ac:dyDescent="0.35">
      <c r="A11" s="8" t="s">
        <v>58</v>
      </c>
      <c r="B11" s="32"/>
      <c r="C11" s="15">
        <f>SUM(C5:C8)</f>
        <v>550000</v>
      </c>
      <c r="D11" s="16">
        <f>SUM(D5:D10)</f>
        <v>1</v>
      </c>
      <c r="E11" s="17">
        <v>0</v>
      </c>
      <c r="F11" s="32"/>
      <c r="G11" s="17">
        <f>C11-E11</f>
        <v>550000</v>
      </c>
      <c r="H11" s="17">
        <f>SUM(H5:H8)</f>
        <v>95166.666666666672</v>
      </c>
      <c r="I11" s="17">
        <f>SUM(I5:I8)</f>
        <v>15226.666666666668</v>
      </c>
    </row>
    <row r="12" spans="1:13" ht="30" customHeight="1" x14ac:dyDescent="0.35">
      <c r="A12" s="7"/>
      <c r="B12" s="7"/>
      <c r="C12" s="7"/>
      <c r="D12" s="7"/>
      <c r="E12" s="7"/>
      <c r="F12" s="7"/>
      <c r="G12" s="7"/>
      <c r="H12" s="7"/>
      <c r="I12" s="7"/>
    </row>
    <row r="13" spans="1:13" ht="34.5" customHeight="1" x14ac:dyDescent="0.3">
      <c r="A13" s="84" t="s">
        <v>59</v>
      </c>
      <c r="B13" s="84"/>
      <c r="C13" s="35" t="s">
        <v>93</v>
      </c>
      <c r="D13" s="35" t="s">
        <v>94</v>
      </c>
      <c r="E13" s="84" t="s">
        <v>60</v>
      </c>
      <c r="F13" s="84"/>
      <c r="G13" s="81" t="s">
        <v>115</v>
      </c>
      <c r="H13" s="83"/>
      <c r="I13" s="52" t="s">
        <v>69</v>
      </c>
      <c r="J13" s="5"/>
    </row>
    <row r="14" spans="1:13" ht="30" customHeight="1" x14ac:dyDescent="0.35">
      <c r="A14" s="72" t="s">
        <v>62</v>
      </c>
      <c r="B14" s="72"/>
      <c r="C14" s="96" t="s">
        <v>113</v>
      </c>
      <c r="D14" s="49">
        <f>SUM('budget 2023'!D50)</f>
        <v>320</v>
      </c>
      <c r="E14" s="86">
        <f>H11*M14/40/12</f>
        <v>137.6490666666667</v>
      </c>
      <c r="F14" s="86"/>
      <c r="G14" s="86">
        <v>20</v>
      </c>
      <c r="H14" s="86"/>
      <c r="I14" s="53">
        <f>SUM(D14+G14)</f>
        <v>340</v>
      </c>
      <c r="J14" s="6"/>
      <c r="K14">
        <f>20*40*12</f>
        <v>9600</v>
      </c>
      <c r="M14">
        <v>0.694272</v>
      </c>
    </row>
    <row r="15" spans="1:13" ht="30" customHeight="1" x14ac:dyDescent="0.35">
      <c r="A15" s="72" t="s">
        <v>63</v>
      </c>
      <c r="B15" s="72"/>
      <c r="C15" s="107"/>
      <c r="D15" s="49">
        <f>SUM('budget 2023'!D51)</f>
        <v>370</v>
      </c>
      <c r="E15" s="75">
        <f>SUM(H11*M15)/12/16</f>
        <v>151.53705555555555</v>
      </c>
      <c r="F15" s="76"/>
      <c r="G15" s="75">
        <v>30</v>
      </c>
      <c r="H15" s="76"/>
      <c r="I15" s="54">
        <f>SUM(D15+G15)</f>
        <v>400</v>
      </c>
      <c r="K15">
        <f>16*30*12</f>
        <v>5760</v>
      </c>
      <c r="M15">
        <v>0.305728</v>
      </c>
    </row>
    <row r="16" spans="1:13" ht="33.75" customHeight="1" x14ac:dyDescent="0.35">
      <c r="A16" s="77" t="s">
        <v>61</v>
      </c>
      <c r="B16" s="78"/>
      <c r="C16" s="78"/>
      <c r="D16" s="106"/>
      <c r="E16" s="79"/>
      <c r="F16" s="79"/>
      <c r="G16" s="79"/>
      <c r="H16" s="79"/>
      <c r="I16" s="21"/>
      <c r="K16">
        <f>K14+K15</f>
        <v>15360</v>
      </c>
    </row>
    <row r="17" spans="1:10" ht="18.600000000000001" thickBot="1" x14ac:dyDescent="0.4">
      <c r="A17" s="7"/>
      <c r="B17" s="7"/>
      <c r="C17" s="7"/>
      <c r="D17" s="7"/>
      <c r="E17" s="7"/>
      <c r="F17" s="7"/>
      <c r="G17" s="7"/>
      <c r="H17" s="7"/>
      <c r="I17" s="7"/>
    </row>
    <row r="18" spans="1:10" ht="15" customHeight="1" x14ac:dyDescent="0.3">
      <c r="A18" s="63" t="s">
        <v>80</v>
      </c>
      <c r="B18" s="64"/>
      <c r="C18" s="64"/>
      <c r="D18" s="64"/>
      <c r="E18" s="64"/>
      <c r="F18" s="64"/>
      <c r="G18" s="64"/>
      <c r="H18" s="64"/>
      <c r="I18" s="65"/>
      <c r="J18" s="22"/>
    </row>
    <row r="19" spans="1:10" x14ac:dyDescent="0.3">
      <c r="A19" s="66"/>
      <c r="B19" s="67"/>
      <c r="C19" s="67"/>
      <c r="D19" s="67"/>
      <c r="E19" s="67"/>
      <c r="F19" s="67"/>
      <c r="G19" s="67"/>
      <c r="H19" s="67"/>
      <c r="I19" s="68"/>
      <c r="J19" s="22"/>
    </row>
    <row r="20" spans="1:10" x14ac:dyDescent="0.3">
      <c r="A20" s="66"/>
      <c r="B20" s="67"/>
      <c r="C20" s="67"/>
      <c r="D20" s="67"/>
      <c r="E20" s="67"/>
      <c r="F20" s="67"/>
      <c r="G20" s="67"/>
      <c r="H20" s="67"/>
      <c r="I20" s="68"/>
    </row>
    <row r="21" spans="1:10" x14ac:dyDescent="0.3">
      <c r="A21" s="66"/>
      <c r="B21" s="67"/>
      <c r="C21" s="67"/>
      <c r="D21" s="67"/>
      <c r="E21" s="67"/>
      <c r="F21" s="67"/>
      <c r="G21" s="67"/>
      <c r="H21" s="67"/>
      <c r="I21" s="68"/>
    </row>
    <row r="22" spans="1:10" ht="15" thickBot="1" x14ac:dyDescent="0.35">
      <c r="A22" s="69"/>
      <c r="B22" s="70"/>
      <c r="C22" s="70"/>
      <c r="D22" s="70"/>
      <c r="E22" s="70"/>
      <c r="F22" s="70"/>
      <c r="G22" s="70"/>
      <c r="H22" s="70"/>
      <c r="I22" s="71"/>
    </row>
    <row r="23" spans="1:10" ht="23.4" x14ac:dyDescent="0.3">
      <c r="A23" s="38"/>
      <c r="B23" s="38"/>
      <c r="C23" s="38"/>
      <c r="D23" s="38"/>
      <c r="E23" s="38"/>
      <c r="F23" s="38"/>
      <c r="G23" s="38"/>
      <c r="H23" s="38"/>
      <c r="I23" s="38"/>
    </row>
    <row r="24" spans="1:10" x14ac:dyDescent="0.3">
      <c r="E24">
        <v>320</v>
      </c>
      <c r="F24">
        <v>350</v>
      </c>
    </row>
    <row r="25" spans="1:10" x14ac:dyDescent="0.3">
      <c r="E25">
        <v>370</v>
      </c>
      <c r="F25">
        <v>410</v>
      </c>
    </row>
  </sheetData>
  <mergeCells count="15">
    <mergeCell ref="A18:I22"/>
    <mergeCell ref="C14:C15"/>
    <mergeCell ref="A15:B15"/>
    <mergeCell ref="E15:F15"/>
    <mergeCell ref="G15:H15"/>
    <mergeCell ref="A16:D16"/>
    <mergeCell ref="E16:F16"/>
    <mergeCell ref="G16:H16"/>
    <mergeCell ref="A1:H1"/>
    <mergeCell ref="A13:B13"/>
    <mergeCell ref="E13:F13"/>
    <mergeCell ref="G13:H13"/>
    <mergeCell ref="A14:B14"/>
    <mergeCell ref="E14:F14"/>
    <mergeCell ref="G14:H14"/>
  </mergeCells>
  <pageMargins left="0.25" right="0.25" top="0.75" bottom="0.75" header="0.3" footer="0.3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9D84-643E-4AE3-9D06-484630276B33}">
  <dimension ref="A1:O61"/>
  <sheetViews>
    <sheetView tabSelected="1" zoomScale="70" zoomScaleNormal="70" workbookViewId="0">
      <selection activeCell="H45" sqref="H45"/>
    </sheetView>
  </sheetViews>
  <sheetFormatPr defaultRowHeight="14.4" x14ac:dyDescent="0.3"/>
  <cols>
    <col min="1" max="1" width="24.77734375" bestFit="1" customWidth="1"/>
    <col min="2" max="2" width="33.77734375" bestFit="1" customWidth="1"/>
    <col min="3" max="3" width="24.5546875" bestFit="1" customWidth="1"/>
    <col min="4" max="4" width="24.21875" bestFit="1" customWidth="1"/>
    <col min="6" max="6" width="3" customWidth="1"/>
    <col min="7" max="7" width="13.44140625" bestFit="1" customWidth="1"/>
    <col min="8" max="8" width="11.21875" bestFit="1" customWidth="1"/>
    <col min="9" max="10" width="9.21875" bestFit="1" customWidth="1"/>
    <col min="11" max="11" width="9.44140625" bestFit="1" customWidth="1"/>
    <col min="12" max="12" width="13.21875" bestFit="1" customWidth="1"/>
    <col min="13" max="13" width="17.77734375" bestFit="1" customWidth="1"/>
    <col min="14" max="15" width="11.21875" bestFit="1" customWidth="1"/>
  </cols>
  <sheetData>
    <row r="1" spans="1:7" ht="18" x14ac:dyDescent="0.35">
      <c r="A1" s="61" t="s">
        <v>0</v>
      </c>
      <c r="B1" s="61"/>
      <c r="C1" s="61"/>
      <c r="D1" s="61"/>
    </row>
    <row r="2" spans="1:7" ht="18" x14ac:dyDescent="0.35">
      <c r="A2" s="61" t="s">
        <v>119</v>
      </c>
      <c r="B2" s="61"/>
      <c r="C2" s="61"/>
      <c r="D2" s="61"/>
    </row>
    <row r="3" spans="1:7" ht="18" x14ac:dyDescent="0.35">
      <c r="A3" s="61" t="s">
        <v>120</v>
      </c>
      <c r="B3" s="61"/>
      <c r="C3" s="61"/>
      <c r="D3" s="61"/>
    </row>
    <row r="4" spans="1:7" ht="18" x14ac:dyDescent="0.35">
      <c r="A4" s="7"/>
      <c r="B4" s="23"/>
      <c r="C4" s="23"/>
      <c r="D4" s="23"/>
    </row>
    <row r="5" spans="1:7" x14ac:dyDescent="0.3">
      <c r="B5" s="62" t="s">
        <v>121</v>
      </c>
      <c r="C5" s="62" t="s">
        <v>122</v>
      </c>
      <c r="D5" s="62" t="s">
        <v>123</v>
      </c>
    </row>
    <row r="6" spans="1:7" x14ac:dyDescent="0.3">
      <c r="B6" s="62"/>
      <c r="C6" s="62"/>
      <c r="D6" s="62"/>
    </row>
    <row r="7" spans="1:7" x14ac:dyDescent="0.3">
      <c r="A7" s="2" t="s">
        <v>1</v>
      </c>
      <c r="B7" s="1"/>
      <c r="C7" s="1"/>
      <c r="D7" s="1"/>
    </row>
    <row r="8" spans="1:7" ht="18" x14ac:dyDescent="0.35">
      <c r="A8" t="s">
        <v>2</v>
      </c>
      <c r="B8" s="24">
        <v>224640</v>
      </c>
      <c r="C8" s="24">
        <v>248000</v>
      </c>
      <c r="D8" s="24">
        <f>D48-D9-D10-D11-D12</f>
        <v>327563.33333333331</v>
      </c>
    </row>
    <row r="9" spans="1:7" ht="18" x14ac:dyDescent="0.35">
      <c r="A9" t="s">
        <v>3</v>
      </c>
      <c r="B9" s="24">
        <v>235</v>
      </c>
      <c r="C9" s="24">
        <v>1400</v>
      </c>
      <c r="D9" s="24">
        <v>235</v>
      </c>
    </row>
    <row r="10" spans="1:7" ht="18" x14ac:dyDescent="0.35">
      <c r="A10" t="s">
        <v>117</v>
      </c>
      <c r="B10" s="24">
        <v>28800</v>
      </c>
      <c r="C10" s="24">
        <v>26200</v>
      </c>
      <c r="D10" s="24">
        <f>60*40*12</f>
        <v>28800</v>
      </c>
    </row>
    <row r="11" spans="1:7" ht="18" x14ac:dyDescent="0.35">
      <c r="A11" t="s">
        <v>116</v>
      </c>
      <c r="B11" s="24">
        <v>15226.67</v>
      </c>
      <c r="C11" s="24">
        <v>0</v>
      </c>
      <c r="D11" s="24">
        <f>SUM('reserves 2023'!I11)</f>
        <v>15226.666666666668</v>
      </c>
    </row>
    <row r="12" spans="1:7" ht="18.600000000000001" thickBot="1" x14ac:dyDescent="0.4">
      <c r="A12" t="s">
        <v>5</v>
      </c>
      <c r="B12" s="25">
        <v>1700</v>
      </c>
      <c r="C12" s="25">
        <v>800</v>
      </c>
      <c r="D12" s="25">
        <v>1700</v>
      </c>
    </row>
    <row r="13" spans="1:7" ht="18" x14ac:dyDescent="0.35">
      <c r="A13" s="2" t="s">
        <v>4</v>
      </c>
      <c r="B13" s="26">
        <f>SUM(B8:B12)</f>
        <v>270601.67</v>
      </c>
      <c r="C13" s="26">
        <f>SUM(C8:C12)</f>
        <v>276400</v>
      </c>
      <c r="D13" s="26">
        <f>SUM(D8:D12)</f>
        <v>373525</v>
      </c>
      <c r="G13" s="6">
        <f>SUM(D8+D9+D12)</f>
        <v>329498.33333333331</v>
      </c>
    </row>
    <row r="14" spans="1:7" ht="18" x14ac:dyDescent="0.35">
      <c r="A14" s="2" t="s">
        <v>6</v>
      </c>
      <c r="B14" s="24"/>
      <c r="C14" s="24"/>
      <c r="D14" s="24"/>
      <c r="G14" s="6">
        <f>G13-D48</f>
        <v>-44026.666666666686</v>
      </c>
    </row>
    <row r="15" spans="1:7" ht="18" x14ac:dyDescent="0.35">
      <c r="A15" s="2" t="s">
        <v>7</v>
      </c>
      <c r="B15" s="24"/>
      <c r="C15" s="24"/>
      <c r="D15" s="24"/>
    </row>
    <row r="16" spans="1:7" ht="18" x14ac:dyDescent="0.35">
      <c r="A16" t="s">
        <v>8</v>
      </c>
      <c r="B16" s="24">
        <v>325</v>
      </c>
      <c r="C16" s="24">
        <v>750</v>
      </c>
      <c r="D16" s="24">
        <v>325</v>
      </c>
    </row>
    <row r="17" spans="1:13" ht="18" x14ac:dyDescent="0.35">
      <c r="A17" t="s">
        <v>9</v>
      </c>
      <c r="B17" s="24">
        <v>102350</v>
      </c>
      <c r="C17" s="24">
        <v>165000</v>
      </c>
      <c r="D17" s="24">
        <v>195000</v>
      </c>
      <c r="H17">
        <f>15000*12</f>
        <v>180000</v>
      </c>
    </row>
    <row r="18" spans="1:13" ht="18" x14ac:dyDescent="0.35">
      <c r="A18" t="s">
        <v>10</v>
      </c>
      <c r="B18" s="24">
        <v>2000</v>
      </c>
      <c r="C18" s="24">
        <v>3600</v>
      </c>
      <c r="D18" s="24">
        <v>2000</v>
      </c>
    </row>
    <row r="19" spans="1:13" ht="18" x14ac:dyDescent="0.35">
      <c r="A19" t="s">
        <v>11</v>
      </c>
      <c r="B19" s="24">
        <v>1200</v>
      </c>
      <c r="C19" s="24">
        <v>750</v>
      </c>
      <c r="D19" s="24">
        <v>1200</v>
      </c>
    </row>
    <row r="20" spans="1:13" ht="18" x14ac:dyDescent="0.35">
      <c r="A20" t="s">
        <v>118</v>
      </c>
      <c r="B20" s="24">
        <v>28000</v>
      </c>
      <c r="C20" s="24">
        <v>4200</v>
      </c>
      <c r="D20" s="24">
        <v>8400</v>
      </c>
    </row>
    <row r="21" spans="1:13" ht="18" x14ac:dyDescent="0.35">
      <c r="A21" t="s">
        <v>12</v>
      </c>
      <c r="B21" s="24">
        <v>1200</v>
      </c>
      <c r="C21" s="24">
        <v>1200</v>
      </c>
      <c r="D21" s="24">
        <v>1200</v>
      </c>
    </row>
    <row r="22" spans="1:13" ht="18" x14ac:dyDescent="0.35">
      <c r="A22" t="s">
        <v>13</v>
      </c>
      <c r="B22" s="24">
        <v>200</v>
      </c>
      <c r="C22" s="24">
        <v>300</v>
      </c>
      <c r="D22" s="24">
        <v>200</v>
      </c>
    </row>
    <row r="23" spans="1:13" ht="18.600000000000001" thickBot="1" x14ac:dyDescent="0.4">
      <c r="A23" t="s">
        <v>15</v>
      </c>
      <c r="B23" s="25">
        <v>7800</v>
      </c>
      <c r="C23" s="25">
        <f>650*12</f>
        <v>7800</v>
      </c>
      <c r="D23" s="25">
        <v>7800</v>
      </c>
    </row>
    <row r="24" spans="1:13" ht="18" x14ac:dyDescent="0.35">
      <c r="A24" s="2" t="s">
        <v>14</v>
      </c>
      <c r="B24" s="26">
        <f>SUM(B16:B23)</f>
        <v>143075</v>
      </c>
      <c r="C24" s="26">
        <f>SUM(C16:C23)</f>
        <v>183600</v>
      </c>
      <c r="D24" s="26">
        <f>SUM(D16:D23)</f>
        <v>216125</v>
      </c>
    </row>
    <row r="25" spans="1:13" ht="18" x14ac:dyDescent="0.35">
      <c r="A25" s="2" t="s">
        <v>16</v>
      </c>
      <c r="B25" s="24"/>
      <c r="C25" s="24"/>
      <c r="D25" s="24"/>
    </row>
    <row r="26" spans="1:13" ht="18" x14ac:dyDescent="0.35">
      <c r="A26" t="s">
        <v>20</v>
      </c>
      <c r="B26" s="24">
        <v>14400</v>
      </c>
      <c r="C26" s="24">
        <v>14400</v>
      </c>
      <c r="D26" s="24">
        <f>1200*12</f>
        <v>14400</v>
      </c>
    </row>
    <row r="27" spans="1:13" ht="25.8" x14ac:dyDescent="0.5">
      <c r="A27" t="s">
        <v>17</v>
      </c>
      <c r="B27" s="24">
        <v>4000</v>
      </c>
      <c r="C27" s="24">
        <v>2000</v>
      </c>
      <c r="D27" s="24">
        <v>3000</v>
      </c>
      <c r="L27" s="44">
        <f>17.6</f>
        <v>17.600000000000001</v>
      </c>
      <c r="M27" s="45">
        <f>SUM(D48*0.0176)/12</f>
        <v>547.8366666666667</v>
      </c>
    </row>
    <row r="28" spans="1:13" ht="25.8" x14ac:dyDescent="0.5">
      <c r="A28" t="s">
        <v>125</v>
      </c>
      <c r="B28" s="24">
        <v>0</v>
      </c>
      <c r="C28" s="24">
        <v>0</v>
      </c>
      <c r="D28" s="24">
        <v>100000</v>
      </c>
      <c r="L28" s="44"/>
      <c r="M28" s="45"/>
    </row>
    <row r="29" spans="1:13" ht="25.8" x14ac:dyDescent="0.5">
      <c r="A29" t="s">
        <v>18</v>
      </c>
      <c r="B29" s="24">
        <v>5500</v>
      </c>
      <c r="C29" s="24">
        <v>6000</v>
      </c>
      <c r="D29" s="24">
        <v>6000</v>
      </c>
      <c r="L29" s="44">
        <f>82.4</f>
        <v>82.4</v>
      </c>
      <c r="M29" s="45">
        <f>SUM(D48*0.0824)/12</f>
        <v>2564.8716666666664</v>
      </c>
    </row>
    <row r="30" spans="1:13" ht="18" x14ac:dyDescent="0.35">
      <c r="A30" t="s">
        <v>36</v>
      </c>
      <c r="B30" s="24">
        <v>2100</v>
      </c>
      <c r="C30" s="24">
        <v>3900</v>
      </c>
      <c r="D30" s="24">
        <v>3900</v>
      </c>
    </row>
    <row r="31" spans="1:13" ht="18" x14ac:dyDescent="0.35">
      <c r="A31" t="s">
        <v>37</v>
      </c>
      <c r="B31" s="24">
        <v>6000</v>
      </c>
      <c r="C31" s="24">
        <v>65000</v>
      </c>
      <c r="D31" s="24">
        <v>8000</v>
      </c>
      <c r="I31">
        <v>70</v>
      </c>
    </row>
    <row r="32" spans="1:13" ht="18.600000000000001" thickBot="1" x14ac:dyDescent="0.4">
      <c r="A32" t="s">
        <v>19</v>
      </c>
      <c r="B32" s="25">
        <v>500</v>
      </c>
      <c r="C32" s="25">
        <v>500</v>
      </c>
      <c r="D32" s="25">
        <v>500</v>
      </c>
    </row>
    <row r="33" spans="1:15" ht="18" x14ac:dyDescent="0.35">
      <c r="A33" s="2" t="s">
        <v>21</v>
      </c>
      <c r="B33" s="26">
        <f>SUM(B26:B32)</f>
        <v>32500</v>
      </c>
      <c r="C33" s="26">
        <f>SUM(C26:C32)</f>
        <v>91800</v>
      </c>
      <c r="D33" s="26">
        <f>SUM(D26:D32)</f>
        <v>135800</v>
      </c>
    </row>
    <row r="34" spans="1:15" ht="18" x14ac:dyDescent="0.35">
      <c r="A34" s="2" t="s">
        <v>22</v>
      </c>
      <c r="B34" s="24"/>
      <c r="C34" s="24"/>
      <c r="D34" s="24"/>
      <c r="M34">
        <f>39</f>
        <v>39</v>
      </c>
    </row>
    <row r="35" spans="1:15" ht="18" x14ac:dyDescent="0.35">
      <c r="A35" t="s">
        <v>23</v>
      </c>
      <c r="B35" s="24">
        <v>7500</v>
      </c>
      <c r="C35" s="24">
        <v>14000</v>
      </c>
      <c r="D35" s="24">
        <v>7500</v>
      </c>
      <c r="K35">
        <v>1</v>
      </c>
      <c r="L35">
        <v>1</v>
      </c>
      <c r="M35">
        <f>29</f>
        <v>29</v>
      </c>
    </row>
    <row r="36" spans="1:15" ht="18.600000000000001" thickBot="1" x14ac:dyDescent="0.4">
      <c r="A36" t="s">
        <v>24</v>
      </c>
      <c r="B36" s="25">
        <v>500</v>
      </c>
      <c r="C36" s="25">
        <v>500</v>
      </c>
      <c r="D36" s="25">
        <v>500</v>
      </c>
      <c r="M36">
        <f>SUM(M35/M34)</f>
        <v>0.74358974358974361</v>
      </c>
      <c r="N36">
        <f>SUM(M34/M35)</f>
        <v>1.3448275862068966</v>
      </c>
    </row>
    <row r="37" spans="1:15" ht="18" x14ac:dyDescent="0.35">
      <c r="A37" s="2" t="s">
        <v>25</v>
      </c>
      <c r="B37" s="26">
        <f>SUM(B35:B36)</f>
        <v>8000</v>
      </c>
      <c r="C37" s="26">
        <f>SUM(C35:C36)</f>
        <v>14500</v>
      </c>
      <c r="D37" s="26">
        <f>SUM(D35:D36)</f>
        <v>8000</v>
      </c>
      <c r="N37">
        <f>N36*40</f>
        <v>53.793103448275865</v>
      </c>
    </row>
    <row r="38" spans="1:15" ht="18" x14ac:dyDescent="0.35">
      <c r="A38" s="2" t="s">
        <v>26</v>
      </c>
      <c r="B38" s="24"/>
      <c r="C38" s="24"/>
      <c r="D38" s="24"/>
      <c r="N38">
        <f>100-N37</f>
        <v>46.206896551724135</v>
      </c>
    </row>
    <row r="39" spans="1:15" ht="18" x14ac:dyDescent="0.35">
      <c r="A39" t="s">
        <v>34</v>
      </c>
      <c r="B39" s="24">
        <v>4600</v>
      </c>
      <c r="C39" s="24">
        <v>6400</v>
      </c>
      <c r="D39" s="24">
        <v>6400</v>
      </c>
    </row>
    <row r="40" spans="1:15" ht="18.600000000000001" thickBot="1" x14ac:dyDescent="0.4">
      <c r="A40" t="s">
        <v>27</v>
      </c>
      <c r="B40" s="25">
        <v>3200</v>
      </c>
      <c r="C40" s="25">
        <v>6000</v>
      </c>
      <c r="D40" s="25">
        <v>3200</v>
      </c>
      <c r="H40">
        <f>320*40*12</f>
        <v>153600</v>
      </c>
    </row>
    <row r="41" spans="1:15" ht="18" x14ac:dyDescent="0.35">
      <c r="A41" s="2" t="s">
        <v>28</v>
      </c>
      <c r="B41" s="26">
        <f>SUM(B39:B40)</f>
        <v>7800</v>
      </c>
      <c r="C41" s="26">
        <f>SUM(C39:C40)</f>
        <v>12400</v>
      </c>
      <c r="D41" s="26">
        <f>SUM(D39:D40)</f>
        <v>9600</v>
      </c>
      <c r="H41" s="51">
        <f>D52*16*12</f>
        <v>112128</v>
      </c>
      <c r="J41">
        <f>16/40</f>
        <v>0.4</v>
      </c>
    </row>
    <row r="42" spans="1:15" ht="18" x14ac:dyDescent="0.35">
      <c r="A42" s="2" t="s">
        <v>29</v>
      </c>
      <c r="B42" s="24"/>
      <c r="C42" s="24"/>
      <c r="D42" s="24"/>
      <c r="H42">
        <f>SUM(H40:H41)</f>
        <v>265728</v>
      </c>
    </row>
    <row r="43" spans="1:15" ht="18" x14ac:dyDescent="0.35">
      <c r="A43" t="s">
        <v>30</v>
      </c>
      <c r="B43" s="24">
        <v>24000</v>
      </c>
      <c r="C43" s="24">
        <v>60000</v>
      </c>
      <c r="D43" s="24">
        <v>60000</v>
      </c>
      <c r="L43" s="5">
        <f>D51*40*12</f>
        <v>215520</v>
      </c>
    </row>
    <row r="44" spans="1:15" ht="18" x14ac:dyDescent="0.35">
      <c r="A44" t="s">
        <v>31</v>
      </c>
      <c r="B44" s="24">
        <v>34000</v>
      </c>
      <c r="C44" s="24">
        <v>37600</v>
      </c>
      <c r="D44" s="24">
        <v>37000</v>
      </c>
      <c r="L44" s="5">
        <f>D52*16*12</f>
        <v>112128</v>
      </c>
    </row>
    <row r="45" spans="1:15" ht="18.600000000000001" thickBot="1" x14ac:dyDescent="0.4">
      <c r="A45" t="s">
        <v>32</v>
      </c>
      <c r="B45" s="25">
        <v>6000</v>
      </c>
      <c r="C45" s="25">
        <v>7000</v>
      </c>
      <c r="D45" s="25">
        <v>7000</v>
      </c>
      <c r="L45" s="5">
        <f>L43+L44</f>
        <v>327648</v>
      </c>
    </row>
    <row r="46" spans="1:15" ht="18.600000000000001" thickBot="1" x14ac:dyDescent="0.4">
      <c r="A46" t="s">
        <v>116</v>
      </c>
      <c r="B46" s="24">
        <v>0</v>
      </c>
      <c r="C46" s="24">
        <v>0</v>
      </c>
      <c r="D46" s="24">
        <v>0</v>
      </c>
    </row>
    <row r="47" spans="1:15" ht="18.600000000000001" thickBot="1" x14ac:dyDescent="0.4">
      <c r="A47" s="2" t="s">
        <v>35</v>
      </c>
      <c r="B47" s="27">
        <f>SUM(B43:B46)</f>
        <v>64000</v>
      </c>
      <c r="C47" s="27">
        <f>SUM(C43:C46)</f>
        <v>104600</v>
      </c>
      <c r="D47" s="27">
        <f>D43+D44+D45</f>
        <v>104000</v>
      </c>
      <c r="O47" s="51">
        <f>D51*40*12</f>
        <v>215520</v>
      </c>
    </row>
    <row r="48" spans="1:15" ht="18.600000000000001" thickTop="1" x14ac:dyDescent="0.35">
      <c r="A48" t="s">
        <v>38</v>
      </c>
      <c r="B48" s="26">
        <f>SUM(B47+B41+B37+B33+B24)</f>
        <v>255375</v>
      </c>
      <c r="C48" s="26">
        <f>SUM(C47+C41+C37+C33+C24)</f>
        <v>406900</v>
      </c>
      <c r="D48" s="26">
        <f>SUM(D47+D41+D37+D33+D24+D46)-D28</f>
        <v>373525</v>
      </c>
      <c r="G48" s="6">
        <f>D48/56/12</f>
        <v>555.84077380952374</v>
      </c>
      <c r="M48">
        <f>M49*40</f>
        <v>0.694272</v>
      </c>
      <c r="O48" s="51">
        <f>D52*16*12</f>
        <v>112128</v>
      </c>
    </row>
    <row r="49" spans="1:15" x14ac:dyDescent="0.3">
      <c r="B49" s="3"/>
      <c r="C49" s="3"/>
      <c r="D49" s="3"/>
      <c r="M49">
        <v>1.7356799999999999E-2</v>
      </c>
      <c r="O49" s="51">
        <f>O47+O48</f>
        <v>327648</v>
      </c>
    </row>
    <row r="50" spans="1:15" ht="18" x14ac:dyDescent="0.3">
      <c r="A50" s="84" t="s">
        <v>59</v>
      </c>
      <c r="B50" s="84"/>
      <c r="C50" s="84"/>
      <c r="D50" s="84"/>
      <c r="H50">
        <v>1</v>
      </c>
      <c r="I50">
        <v>0.74868000000000001</v>
      </c>
      <c r="J50">
        <f>I50/56</f>
        <v>1.3369285714285714E-2</v>
      </c>
      <c r="K50" s="6">
        <f>SUM(D48*M48)/40/12</f>
        <v>540.26656000000003</v>
      </c>
      <c r="L50" s="6">
        <f>K50*40*12</f>
        <v>259327.94880000001</v>
      </c>
    </row>
    <row r="51" spans="1:15" ht="27.75" customHeight="1" x14ac:dyDescent="0.3">
      <c r="A51" s="84" t="s">
        <v>62</v>
      </c>
      <c r="B51" s="84"/>
      <c r="C51" s="84" t="s">
        <v>113</v>
      </c>
      <c r="D51" s="50">
        <v>449</v>
      </c>
      <c r="G51" s="6">
        <f>(D48*0.0517931)/12</f>
        <v>1612.1681397916666</v>
      </c>
      <c r="H51">
        <v>2</v>
      </c>
      <c r="I51">
        <v>0.25131999999999999</v>
      </c>
      <c r="J51">
        <f>I51/16</f>
        <v>1.5707499999999999E-2</v>
      </c>
      <c r="K51" s="6">
        <f>SUM(D48*J52)/16/12</f>
        <v>594.7763083333333</v>
      </c>
      <c r="L51" s="6">
        <f>K51*12*16</f>
        <v>114197.05119999999</v>
      </c>
    </row>
    <row r="52" spans="1:15" ht="25.5" customHeight="1" x14ac:dyDescent="0.3">
      <c r="A52" s="84" t="s">
        <v>63</v>
      </c>
      <c r="B52" s="84"/>
      <c r="C52" s="84"/>
      <c r="D52" s="50">
        <v>584</v>
      </c>
      <c r="G52" s="6">
        <f>SUM(D48*0.462069)/16/12</f>
        <v>898.92876679687504</v>
      </c>
      <c r="J52">
        <v>0.305728</v>
      </c>
      <c r="N52" s="34">
        <v>0.694272</v>
      </c>
    </row>
    <row r="53" spans="1:15" x14ac:dyDescent="0.3">
      <c r="N53" s="34">
        <v>0.305728</v>
      </c>
    </row>
    <row r="54" spans="1:15" x14ac:dyDescent="0.3">
      <c r="A54" s="112">
        <v>100000</v>
      </c>
      <c r="B54" s="110" t="s">
        <v>129</v>
      </c>
      <c r="C54" s="55" t="s">
        <v>89</v>
      </c>
      <c r="D54" s="108" t="s">
        <v>127</v>
      </c>
      <c r="E54" s="110" t="s">
        <v>128</v>
      </c>
      <c r="I54" s="6">
        <f>D8*N52/12/40</f>
        <v>473.78760533333326</v>
      </c>
    </row>
    <row r="55" spans="1:15" x14ac:dyDescent="0.3">
      <c r="A55" s="113"/>
      <c r="B55" s="111"/>
      <c r="C55" s="55" t="s">
        <v>98</v>
      </c>
      <c r="D55" s="109"/>
      <c r="E55" s="111"/>
      <c r="F55" s="51"/>
      <c r="I55" s="6">
        <f>D8*N53/12/16</f>
        <v>521.59001444444436</v>
      </c>
    </row>
    <row r="56" spans="1:15" x14ac:dyDescent="0.3">
      <c r="A56" s="55" t="s">
        <v>96</v>
      </c>
      <c r="B56" s="56">
        <v>1735.6799999999998</v>
      </c>
      <c r="C56" s="55">
        <v>0.694272</v>
      </c>
      <c r="D56" s="56">
        <v>1735.6799999999998</v>
      </c>
      <c r="E56" s="56">
        <v>289.27999999999997</v>
      </c>
      <c r="F56" s="51"/>
    </row>
    <row r="57" spans="1:15" x14ac:dyDescent="0.3">
      <c r="A57" s="55" t="s">
        <v>95</v>
      </c>
      <c r="B57" s="56">
        <v>1910.8</v>
      </c>
      <c r="C57" s="55">
        <v>0.305728</v>
      </c>
      <c r="D57" s="56">
        <v>1910.8</v>
      </c>
      <c r="E57" s="56">
        <v>318.46666666666664</v>
      </c>
      <c r="F57" s="51"/>
    </row>
    <row r="58" spans="1:15" x14ac:dyDescent="0.3">
      <c r="H58">
        <f>E51*40</f>
        <v>0</v>
      </c>
    </row>
    <row r="59" spans="1:15" x14ac:dyDescent="0.3">
      <c r="H59">
        <f>E52*16</f>
        <v>0</v>
      </c>
    </row>
    <row r="60" spans="1:15" x14ac:dyDescent="0.3">
      <c r="H60">
        <f>H58+H59</f>
        <v>0</v>
      </c>
    </row>
    <row r="61" spans="1:15" x14ac:dyDescent="0.3">
      <c r="H61">
        <f>H60*12</f>
        <v>0</v>
      </c>
    </row>
  </sheetData>
  <mergeCells count="14">
    <mergeCell ref="D54:D55"/>
    <mergeCell ref="E54:E55"/>
    <mergeCell ref="A54:A55"/>
    <mergeCell ref="B54:B55"/>
    <mergeCell ref="A50:D50"/>
    <mergeCell ref="A51:B51"/>
    <mergeCell ref="C51:C52"/>
    <mergeCell ref="A52:B52"/>
    <mergeCell ref="A1:D1"/>
    <mergeCell ref="A2:D2"/>
    <mergeCell ref="A3:D3"/>
    <mergeCell ref="B5:B6"/>
    <mergeCell ref="C5:C6"/>
    <mergeCell ref="D5:D6"/>
  </mergeCells>
  <pageMargins left="0.7" right="0.7" top="0.75" bottom="0.75" header="0.3" footer="0.3"/>
  <pageSetup scale="65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3D92-77CD-4CC1-A2BF-7333B4A09E42}">
  <dimension ref="A1:M25"/>
  <sheetViews>
    <sheetView zoomScale="82" zoomScaleNormal="82" workbookViewId="0">
      <selection activeCell="B5" sqref="B5:B10"/>
    </sheetView>
  </sheetViews>
  <sheetFormatPr defaultColWidth="8.77734375" defaultRowHeight="14.4" x14ac:dyDescent="0.3"/>
  <cols>
    <col min="1" max="1" width="19.5546875" bestFit="1" customWidth="1"/>
    <col min="2" max="2" width="15" customWidth="1"/>
    <col min="3" max="3" width="17.5546875" bestFit="1" customWidth="1"/>
    <col min="4" max="4" width="15.44140625" bestFit="1" customWidth="1"/>
    <col min="5" max="5" width="16.44140625" bestFit="1" customWidth="1"/>
    <col min="6" max="6" width="12.5546875" bestFit="1" customWidth="1"/>
    <col min="7" max="7" width="17.5546875" bestFit="1" customWidth="1"/>
    <col min="8" max="8" width="19" bestFit="1" customWidth="1"/>
    <col min="9" max="9" width="22.44140625" customWidth="1"/>
    <col min="10" max="10" width="25.44140625" customWidth="1"/>
    <col min="11" max="11" width="10.5546875" bestFit="1" customWidth="1"/>
  </cols>
  <sheetData>
    <row r="1" spans="1:13" ht="30" customHeight="1" x14ac:dyDescent="0.35">
      <c r="A1" s="80" t="s">
        <v>124</v>
      </c>
      <c r="B1" s="80"/>
      <c r="C1" s="80"/>
      <c r="D1" s="80"/>
      <c r="E1" s="80"/>
      <c r="F1" s="80"/>
      <c r="G1" s="80"/>
      <c r="H1" s="80"/>
      <c r="I1" s="7"/>
    </row>
    <row r="2" spans="1:13" ht="30" customHeight="1" x14ac:dyDescent="0.35">
      <c r="A2" s="32" t="s">
        <v>39</v>
      </c>
      <c r="B2" s="32" t="s">
        <v>40</v>
      </c>
      <c r="C2" s="32" t="s">
        <v>40</v>
      </c>
      <c r="D2" s="32" t="s">
        <v>41</v>
      </c>
      <c r="E2" s="32" t="s">
        <v>42</v>
      </c>
      <c r="F2" s="32" t="s">
        <v>43</v>
      </c>
      <c r="G2" s="32" t="s">
        <v>44</v>
      </c>
      <c r="H2" s="32" t="s">
        <v>45</v>
      </c>
      <c r="I2" s="8"/>
    </row>
    <row r="3" spans="1:13" ht="30" customHeight="1" x14ac:dyDescent="0.35">
      <c r="A3" s="32"/>
      <c r="B3" s="32" t="s">
        <v>46</v>
      </c>
      <c r="C3" s="32" t="s">
        <v>47</v>
      </c>
      <c r="D3" s="32" t="s">
        <v>48</v>
      </c>
      <c r="E3" s="32" t="s">
        <v>49</v>
      </c>
      <c r="F3" s="32" t="s">
        <v>50</v>
      </c>
      <c r="G3" s="32" t="s">
        <v>45</v>
      </c>
      <c r="H3" s="32" t="s">
        <v>126</v>
      </c>
      <c r="I3" s="32" t="s">
        <v>126</v>
      </c>
    </row>
    <row r="4" spans="1:13" ht="35.25" customHeight="1" x14ac:dyDescent="0.35">
      <c r="A4" s="32"/>
      <c r="B4" s="32"/>
      <c r="C4" s="32"/>
      <c r="D4" s="32" t="s">
        <v>51</v>
      </c>
      <c r="E4" s="9">
        <v>45291</v>
      </c>
      <c r="F4" s="10" t="s">
        <v>52</v>
      </c>
      <c r="G4" s="32" t="s">
        <v>53</v>
      </c>
      <c r="H4" s="32" t="s">
        <v>54</v>
      </c>
      <c r="I4" s="10" t="s">
        <v>114</v>
      </c>
    </row>
    <row r="5" spans="1:13" ht="30" customHeight="1" x14ac:dyDescent="0.35">
      <c r="A5" s="8" t="s">
        <v>55</v>
      </c>
      <c r="B5" s="57">
        <v>7</v>
      </c>
      <c r="C5" s="11">
        <v>60000</v>
      </c>
      <c r="D5" s="12">
        <v>0.15</v>
      </c>
      <c r="E5" s="13">
        <f>SUM(E11*D5)</f>
        <v>0</v>
      </c>
      <c r="F5" s="14">
        <v>8</v>
      </c>
      <c r="G5" s="13">
        <f>C5-E5</f>
        <v>60000</v>
      </c>
      <c r="H5" s="13">
        <f>G5/F5</f>
        <v>7500</v>
      </c>
      <c r="I5" s="13">
        <f t="shared" ref="I5:I10" si="0">SUM(H5*0.16)</f>
        <v>1200</v>
      </c>
    </row>
    <row r="6" spans="1:13" ht="30" customHeight="1" x14ac:dyDescent="0.35">
      <c r="A6" s="8" t="s">
        <v>110</v>
      </c>
      <c r="B6" s="57">
        <v>9</v>
      </c>
      <c r="C6" s="11">
        <v>60000</v>
      </c>
      <c r="D6" s="12">
        <v>0.1</v>
      </c>
      <c r="E6" s="13">
        <v>0</v>
      </c>
      <c r="F6" s="14">
        <v>10</v>
      </c>
      <c r="G6" s="13">
        <v>60000</v>
      </c>
      <c r="H6" s="13">
        <f>SUM(G6/F6)</f>
        <v>6000</v>
      </c>
      <c r="I6" s="13">
        <f t="shared" si="0"/>
        <v>960</v>
      </c>
    </row>
    <row r="7" spans="1:13" ht="30" customHeight="1" x14ac:dyDescent="0.35">
      <c r="A7" s="8" t="s">
        <v>56</v>
      </c>
      <c r="B7" s="57">
        <v>19</v>
      </c>
      <c r="C7" s="11">
        <v>600000</v>
      </c>
      <c r="D7" s="12">
        <v>0.4</v>
      </c>
      <c r="E7" s="13">
        <f>SUM(E11*D7)</f>
        <v>0</v>
      </c>
      <c r="F7" s="14">
        <v>6</v>
      </c>
      <c r="G7" s="13">
        <f t="shared" ref="G7:G9" si="1">C7-E7</f>
        <v>600000</v>
      </c>
      <c r="H7" s="13">
        <f>SUM(G7/F7)</f>
        <v>100000</v>
      </c>
      <c r="I7" s="13">
        <f t="shared" si="0"/>
        <v>16000</v>
      </c>
    </row>
    <row r="8" spans="1:13" ht="30" customHeight="1" x14ac:dyDescent="0.35">
      <c r="A8" s="8" t="s">
        <v>57</v>
      </c>
      <c r="B8" s="57">
        <v>14</v>
      </c>
      <c r="C8" s="11">
        <v>30000</v>
      </c>
      <c r="D8" s="12">
        <v>0.15</v>
      </c>
      <c r="E8" s="13">
        <f>SUM(E11*D8)</f>
        <v>0</v>
      </c>
      <c r="F8" s="14">
        <v>2</v>
      </c>
      <c r="G8" s="13">
        <f t="shared" si="1"/>
        <v>30000</v>
      </c>
      <c r="H8" s="13">
        <f>SUM(G8/F8)</f>
        <v>15000</v>
      </c>
      <c r="I8" s="13">
        <f t="shared" si="0"/>
        <v>2400</v>
      </c>
      <c r="J8" s="5"/>
      <c r="K8" s="5">
        <f>H11*0.16</f>
        <v>20560</v>
      </c>
    </row>
    <row r="9" spans="1:13" ht="30" customHeight="1" x14ac:dyDescent="0.35">
      <c r="A9" s="8" t="s">
        <v>71</v>
      </c>
      <c r="B9" s="57">
        <v>9</v>
      </c>
      <c r="C9" s="11">
        <v>30000</v>
      </c>
      <c r="D9" s="12">
        <v>0.15</v>
      </c>
      <c r="E9" s="13">
        <f>SUM(E11*D9)</f>
        <v>0</v>
      </c>
      <c r="F9" s="14">
        <v>2</v>
      </c>
      <c r="G9" s="13">
        <f t="shared" si="1"/>
        <v>30000</v>
      </c>
      <c r="H9" s="13">
        <f>SUM(G9/F9)</f>
        <v>15000</v>
      </c>
      <c r="I9" s="13">
        <f t="shared" si="0"/>
        <v>2400</v>
      </c>
      <c r="J9" s="5"/>
    </row>
    <row r="10" spans="1:13" ht="30" customHeight="1" x14ac:dyDescent="0.35">
      <c r="A10" s="8" t="s">
        <v>33</v>
      </c>
      <c r="B10" s="57">
        <v>7</v>
      </c>
      <c r="C10" s="11">
        <v>22000</v>
      </c>
      <c r="D10" s="12">
        <v>0.05</v>
      </c>
      <c r="E10" s="13">
        <f>SUM(E11*D10)</f>
        <v>0</v>
      </c>
      <c r="F10" s="14">
        <v>8</v>
      </c>
      <c r="G10" s="13">
        <f>C10-E10</f>
        <v>22000</v>
      </c>
      <c r="H10" s="13">
        <f>SUM(G10/F10)</f>
        <v>2750</v>
      </c>
      <c r="I10" s="13">
        <f t="shared" si="0"/>
        <v>440</v>
      </c>
    </row>
    <row r="11" spans="1:13" ht="30" customHeight="1" x14ac:dyDescent="0.35">
      <c r="A11" s="8" t="s">
        <v>58</v>
      </c>
      <c r="B11" s="32"/>
      <c r="C11" s="15">
        <f>SUM(C5:C8)</f>
        <v>750000</v>
      </c>
      <c r="D11" s="16">
        <f>SUM(D5:D10)</f>
        <v>1</v>
      </c>
      <c r="E11" s="17">
        <v>0</v>
      </c>
      <c r="F11" s="32"/>
      <c r="G11" s="17">
        <f>C11-E11</f>
        <v>750000</v>
      </c>
      <c r="H11" s="17">
        <f>SUM(H5:H8)</f>
        <v>128500</v>
      </c>
      <c r="I11" s="17">
        <f>SUM(I5:I8)</f>
        <v>20560</v>
      </c>
    </row>
    <row r="12" spans="1:13" ht="30" customHeight="1" x14ac:dyDescent="0.35">
      <c r="A12" s="7"/>
      <c r="B12" s="7"/>
      <c r="C12" s="7"/>
      <c r="D12" s="7"/>
      <c r="E12" s="7"/>
      <c r="F12" s="7"/>
      <c r="G12" s="7"/>
      <c r="H12" s="7"/>
      <c r="I12" s="7"/>
    </row>
    <row r="13" spans="1:13" ht="34.5" customHeight="1" x14ac:dyDescent="0.3">
      <c r="A13" s="84" t="s">
        <v>59</v>
      </c>
      <c r="B13" s="84"/>
      <c r="C13" s="35" t="s">
        <v>93</v>
      </c>
      <c r="D13" s="35" t="s">
        <v>94</v>
      </c>
      <c r="E13" s="84" t="s">
        <v>60</v>
      </c>
      <c r="F13" s="84"/>
      <c r="G13" s="81" t="s">
        <v>115</v>
      </c>
      <c r="H13" s="83"/>
      <c r="I13" s="36" t="s">
        <v>69</v>
      </c>
      <c r="J13" s="5"/>
    </row>
    <row r="14" spans="1:13" ht="30" customHeight="1" x14ac:dyDescent="0.35">
      <c r="A14" s="72" t="s">
        <v>62</v>
      </c>
      <c r="B14" s="72"/>
      <c r="C14" s="96" t="s">
        <v>113</v>
      </c>
      <c r="D14" s="49">
        <f>'budget 2024'!D51</f>
        <v>449</v>
      </c>
      <c r="E14" s="86">
        <f>H11*M14/40/12</f>
        <v>185.86240000000001</v>
      </c>
      <c r="F14" s="86"/>
      <c r="G14" s="86">
        <f>SUM(I11*M14)/40/12</f>
        <v>29.737983999999997</v>
      </c>
      <c r="H14" s="86"/>
      <c r="I14" s="18">
        <f>SUM(D14+G14)</f>
        <v>478.73798399999998</v>
      </c>
      <c r="J14" s="6"/>
      <c r="K14">
        <f>20*40*12</f>
        <v>9600</v>
      </c>
      <c r="M14">
        <v>0.694272</v>
      </c>
    </row>
    <row r="15" spans="1:13" ht="30" customHeight="1" x14ac:dyDescent="0.35">
      <c r="A15" s="72" t="s">
        <v>63</v>
      </c>
      <c r="B15" s="72"/>
      <c r="C15" s="107"/>
      <c r="D15" s="49">
        <f>'budget 2024'!D52</f>
        <v>584</v>
      </c>
      <c r="E15" s="75">
        <f>SUM(H11*M15)/12/16</f>
        <v>204.61483333333334</v>
      </c>
      <c r="F15" s="76"/>
      <c r="G15" s="75">
        <f>SUM(I11*M15)/12/16</f>
        <v>32.738373333333335</v>
      </c>
      <c r="H15" s="76"/>
      <c r="I15" s="33">
        <f>SUM(D15+G15)</f>
        <v>616.73837333333336</v>
      </c>
      <c r="K15">
        <f>16*30*12</f>
        <v>5760</v>
      </c>
      <c r="M15">
        <v>0.305728</v>
      </c>
    </row>
    <row r="16" spans="1:13" ht="33.75" customHeight="1" x14ac:dyDescent="0.35">
      <c r="A16" s="77" t="s">
        <v>61</v>
      </c>
      <c r="B16" s="78"/>
      <c r="C16" s="78"/>
      <c r="D16" s="106"/>
      <c r="E16" s="79"/>
      <c r="F16" s="79"/>
      <c r="G16" s="79"/>
      <c r="H16" s="79"/>
      <c r="I16" s="21"/>
      <c r="K16">
        <f>K14+K15</f>
        <v>15360</v>
      </c>
    </row>
    <row r="17" spans="1:10" ht="18.600000000000001" thickBot="1" x14ac:dyDescent="0.4">
      <c r="A17" s="7"/>
      <c r="B17" s="7"/>
      <c r="C17" s="7"/>
      <c r="D17" s="7"/>
      <c r="E17" s="7"/>
      <c r="F17" s="7"/>
      <c r="G17" s="7"/>
      <c r="H17" s="7"/>
      <c r="I17" s="7"/>
    </row>
    <row r="18" spans="1:10" ht="15" customHeight="1" x14ac:dyDescent="0.3">
      <c r="A18" s="63" t="s">
        <v>80</v>
      </c>
      <c r="B18" s="64"/>
      <c r="C18" s="64"/>
      <c r="D18" s="64"/>
      <c r="E18" s="64"/>
      <c r="F18" s="64"/>
      <c r="G18" s="64"/>
      <c r="H18" s="64"/>
      <c r="I18" s="65"/>
      <c r="J18" s="22"/>
    </row>
    <row r="19" spans="1:10" x14ac:dyDescent="0.3">
      <c r="A19" s="66"/>
      <c r="B19" s="67"/>
      <c r="C19" s="67"/>
      <c r="D19" s="67"/>
      <c r="E19" s="67"/>
      <c r="F19" s="67"/>
      <c r="G19" s="67"/>
      <c r="H19" s="67"/>
      <c r="I19" s="68"/>
      <c r="J19" s="22"/>
    </row>
    <row r="20" spans="1:10" x14ac:dyDescent="0.3">
      <c r="A20" s="66"/>
      <c r="B20" s="67"/>
      <c r="C20" s="67"/>
      <c r="D20" s="67"/>
      <c r="E20" s="67"/>
      <c r="F20" s="67"/>
      <c r="G20" s="67"/>
      <c r="H20" s="67"/>
      <c r="I20" s="68"/>
    </row>
    <row r="21" spans="1:10" x14ac:dyDescent="0.3">
      <c r="A21" s="66"/>
      <c r="B21" s="67"/>
      <c r="C21" s="67"/>
      <c r="D21" s="67"/>
      <c r="E21" s="67"/>
      <c r="F21" s="67"/>
      <c r="G21" s="67"/>
      <c r="H21" s="67"/>
      <c r="I21" s="68"/>
    </row>
    <row r="22" spans="1:10" ht="15" thickBot="1" x14ac:dyDescent="0.35">
      <c r="A22" s="69"/>
      <c r="B22" s="70"/>
      <c r="C22" s="70"/>
      <c r="D22" s="70"/>
      <c r="E22" s="70"/>
      <c r="F22" s="70"/>
      <c r="G22" s="70"/>
      <c r="H22" s="70"/>
      <c r="I22" s="71"/>
    </row>
    <row r="23" spans="1:10" ht="23.4" x14ac:dyDescent="0.3">
      <c r="A23" s="38"/>
      <c r="B23" s="38"/>
      <c r="C23" s="38"/>
      <c r="D23" s="38"/>
      <c r="E23" s="38"/>
      <c r="F23" s="38"/>
      <c r="G23" s="38"/>
      <c r="H23" s="38"/>
      <c r="I23" s="38"/>
    </row>
    <row r="24" spans="1:10" x14ac:dyDescent="0.3">
      <c r="E24">
        <v>320</v>
      </c>
      <c r="F24">
        <v>350</v>
      </c>
    </row>
    <row r="25" spans="1:10" x14ac:dyDescent="0.3">
      <c r="E25">
        <v>370</v>
      </c>
      <c r="F25">
        <v>410</v>
      </c>
    </row>
  </sheetData>
  <mergeCells count="15">
    <mergeCell ref="A16:D16"/>
    <mergeCell ref="E16:F16"/>
    <mergeCell ref="G16:H16"/>
    <mergeCell ref="A18:I22"/>
    <mergeCell ref="A1:H1"/>
    <mergeCell ref="A13:B13"/>
    <mergeCell ref="E13:F13"/>
    <mergeCell ref="G13:H13"/>
    <mergeCell ref="A14:B14"/>
    <mergeCell ref="C14:C15"/>
    <mergeCell ref="E14:F14"/>
    <mergeCell ref="G14:H14"/>
    <mergeCell ref="A15:B15"/>
    <mergeCell ref="E15:F15"/>
    <mergeCell ref="G15:H15"/>
  </mergeCells>
  <pageMargins left="0.25" right="0.25" top="0.75" bottom="0.75" header="0.3" footer="0.3"/>
  <pageSetup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Budget 2021</vt:lpstr>
      <vt:lpstr>reserves 2021</vt:lpstr>
      <vt:lpstr>budget 2022</vt:lpstr>
      <vt:lpstr>Sheet1</vt:lpstr>
      <vt:lpstr>reserves 2022</vt:lpstr>
      <vt:lpstr>budget 2023</vt:lpstr>
      <vt:lpstr>reserves 2023</vt:lpstr>
      <vt:lpstr>budget 2024</vt:lpstr>
      <vt:lpstr>reserves 2024</vt:lpstr>
      <vt:lpstr>paaint 2024</vt:lpstr>
      <vt:lpstr>'Budget 2021'!Print_Area</vt:lpstr>
      <vt:lpstr>'budget 2022'!Print_Area</vt:lpstr>
      <vt:lpstr>'budget 2023'!Print_Area</vt:lpstr>
      <vt:lpstr>'budget 2024'!Print_Area</vt:lpstr>
      <vt:lpstr>'reserves 2021'!Print_Area</vt:lpstr>
      <vt:lpstr>'reserves 2022'!Print_Area</vt:lpstr>
      <vt:lpstr>'reserves 2023'!Print_Area</vt:lpstr>
      <vt:lpstr>'reserves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</dc:creator>
  <cp:lastModifiedBy>jamie blum</cp:lastModifiedBy>
  <cp:lastPrinted>2023-11-09T14:59:00Z</cp:lastPrinted>
  <dcterms:created xsi:type="dcterms:W3CDTF">2017-07-20T12:38:37Z</dcterms:created>
  <dcterms:modified xsi:type="dcterms:W3CDTF">2024-10-14T21:32:10Z</dcterms:modified>
</cp:coreProperties>
</file>