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c64690517dddf648/Desktop/"/>
    </mc:Choice>
  </mc:AlternateContent>
  <xr:revisionPtr revIDLastSave="0" documentId="8_{5539CF79-028D-4D34-B3DA-A00D2063A868}" xr6:coauthVersionLast="47" xr6:coauthVersionMax="47" xr10:uidLastSave="{00000000-0000-0000-0000-000000000000}"/>
  <bookViews>
    <workbookView xWindow="-108" yWindow="-108" windowWidth="23256" windowHeight="13896" firstSheet="7" activeTab="11" xr2:uid="{23F823B2-EDA8-4C4B-A309-2C1507B0584C}"/>
  </bookViews>
  <sheets>
    <sheet name="2019 budget" sheetId="1" r:id="rId1"/>
    <sheet name="2020 budget" sheetId="2" r:id="rId2"/>
    <sheet name="loan" sheetId="4" r:id="rId3"/>
    <sheet name="reserves 2020" sheetId="3" r:id="rId4"/>
    <sheet name="2021 budget" sheetId="6" r:id="rId5"/>
    <sheet name="reserves 2021" sheetId="5" r:id="rId6"/>
    <sheet name="2022 budget" sheetId="7" r:id="rId7"/>
    <sheet name="Sheet1" sheetId="9" r:id="rId8"/>
    <sheet name="reserves 2022" sheetId="8" r:id="rId9"/>
    <sheet name="2023 budget" sheetId="10" r:id="rId10"/>
    <sheet name="reserves 2023" sheetId="11" r:id="rId11"/>
    <sheet name="2024 budget" sheetId="12" r:id="rId12"/>
    <sheet name="reserves 2024" sheetId="13" r:id="rId13"/>
  </sheets>
  <definedNames>
    <definedName name="_xlnm.Print_Area" localSheetId="1">'2020 budget'!$A$1:$D$57</definedName>
    <definedName name="_xlnm.Print_Area" localSheetId="4">'2021 budget'!$A$1:$D$55</definedName>
    <definedName name="_xlnm.Print_Area" localSheetId="6">'2022 budget'!$A$1:$D$53</definedName>
    <definedName name="_xlnm.Print_Area" localSheetId="9">'2023 budget'!$A$1:$D$52</definedName>
    <definedName name="_xlnm.Print_Area" localSheetId="11">'2024 budget'!$A$1:$D$52</definedName>
    <definedName name="_xlnm.Print_Area" localSheetId="3">'reserves 2020'!$A$1:$K$18</definedName>
    <definedName name="_xlnm.Print_Area" localSheetId="5">'reserves 2021'!$A$1:$I$18</definedName>
    <definedName name="_xlnm.Print_Area" localSheetId="8">'reserves 2022'!$A$1:$I$18</definedName>
    <definedName name="_xlnm.Print_Area" localSheetId="10">'reserves 2023'!$A$1:$I$18</definedName>
    <definedName name="_xlnm.Print_Area" localSheetId="12">'reserves 2024'!$A$1:$I$18</definedName>
    <definedName name="_xlnm.Print_Area" localSheetId="7">Sheet1!$A$1:$H$27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 i="12" l="1"/>
  <c r="D42" i="12"/>
  <c r="F12" i="12"/>
  <c r="C44" i="12"/>
  <c r="D40" i="12"/>
  <c r="F5" i="10"/>
  <c r="D31" i="10"/>
  <c r="D46" i="10" s="1"/>
  <c r="D5" i="10" s="1"/>
  <c r="D42" i="10"/>
  <c r="D40" i="10"/>
  <c r="G21" i="13"/>
  <c r="E11" i="13"/>
  <c r="C11" i="13"/>
  <c r="F10" i="13"/>
  <c r="G10" i="13" s="1"/>
  <c r="H10" i="13" s="1"/>
  <c r="F9" i="13"/>
  <c r="G9" i="13" s="1"/>
  <c r="H9" i="13" s="1"/>
  <c r="F8" i="13"/>
  <c r="G8" i="13" s="1"/>
  <c r="H8" i="13" s="1"/>
  <c r="F7" i="13"/>
  <c r="G7" i="13" s="1"/>
  <c r="H7" i="13" s="1"/>
  <c r="F6" i="13"/>
  <c r="G6" i="13" s="1"/>
  <c r="K3" i="13"/>
  <c r="K4" i="13" s="1"/>
  <c r="K2" i="13"/>
  <c r="B46" i="12"/>
  <c r="B8" i="12"/>
  <c r="B5" i="12"/>
  <c r="C42" i="12"/>
  <c r="B42" i="12"/>
  <c r="I41" i="12"/>
  <c r="N40" i="12"/>
  <c r="F36" i="12"/>
  <c r="B31" i="12"/>
  <c r="C13" i="12"/>
  <c r="C31" i="12" s="1"/>
  <c r="C46" i="12" s="1"/>
  <c r="C10" i="12"/>
  <c r="C11" i="12" s="1"/>
  <c r="B10" i="12"/>
  <c r="B11" i="12" s="1"/>
  <c r="H9" i="12"/>
  <c r="I9" i="12" s="1"/>
  <c r="M7" i="12"/>
  <c r="F4" i="12"/>
  <c r="B10" i="10"/>
  <c r="B11" i="10" s="1"/>
  <c r="C10" i="10"/>
  <c r="C11" i="10" s="1"/>
  <c r="I8" i="11"/>
  <c r="I7" i="11"/>
  <c r="J16" i="8"/>
  <c r="K16" i="8"/>
  <c r="I10" i="8"/>
  <c r="I9" i="8"/>
  <c r="I8" i="8"/>
  <c r="I7" i="8"/>
  <c r="I6" i="8"/>
  <c r="K14" i="8"/>
  <c r="E11" i="11"/>
  <c r="C11" i="11"/>
  <c r="F10" i="11"/>
  <c r="G10" i="11" s="1"/>
  <c r="H10" i="11" s="1"/>
  <c r="F9" i="11"/>
  <c r="G9" i="11" s="1"/>
  <c r="H9" i="11" s="1"/>
  <c r="F8" i="11"/>
  <c r="G8" i="11" s="1"/>
  <c r="H8" i="11" s="1"/>
  <c r="F7" i="11"/>
  <c r="G7" i="11" s="1"/>
  <c r="H7" i="11" s="1"/>
  <c r="F6" i="11"/>
  <c r="G6" i="11" s="1"/>
  <c r="K3" i="11"/>
  <c r="K4" i="11" s="1"/>
  <c r="K2" i="11"/>
  <c r="C42" i="10"/>
  <c r="B42" i="10"/>
  <c r="I41" i="10"/>
  <c r="N40" i="10"/>
  <c r="F36" i="10"/>
  <c r="B31" i="10"/>
  <c r="D43" i="10"/>
  <c r="C13" i="10"/>
  <c r="H9" i="10"/>
  <c r="D8" i="10"/>
  <c r="M7" i="10"/>
  <c r="F37" i="7"/>
  <c r="K4" i="8"/>
  <c r="K3" i="8"/>
  <c r="K2" i="8"/>
  <c r="D5" i="7"/>
  <c r="N41" i="7"/>
  <c r="F25" i="9"/>
  <c r="F22" i="9"/>
  <c r="F15" i="9"/>
  <c r="F12" i="9"/>
  <c r="F9" i="9"/>
  <c r="F3" i="9"/>
  <c r="F10" i="8"/>
  <c r="F9" i="8"/>
  <c r="F8" i="8"/>
  <c r="F7" i="8"/>
  <c r="F6" i="8"/>
  <c r="D43" i="7"/>
  <c r="D8" i="7"/>
  <c r="B8" i="7"/>
  <c r="M7" i="7"/>
  <c r="D18" i="7"/>
  <c r="D32" i="7" s="1"/>
  <c r="D45" i="7"/>
  <c r="C45" i="7"/>
  <c r="C28" i="7"/>
  <c r="C21" i="7"/>
  <c r="C18" i="7"/>
  <c r="H9" i="7"/>
  <c r="C7" i="7"/>
  <c r="I9" i="7" s="1"/>
  <c r="C5" i="7"/>
  <c r="J23" i="3"/>
  <c r="E24" i="5"/>
  <c r="C13" i="7"/>
  <c r="C32" i="7"/>
  <c r="C47" i="7" s="1"/>
  <c r="G6" i="8"/>
  <c r="H6" i="8"/>
  <c r="G7" i="8"/>
  <c r="H7" i="8"/>
  <c r="G8" i="8"/>
  <c r="H8" i="8"/>
  <c r="G9" i="8"/>
  <c r="H9" i="8"/>
  <c r="G10" i="8"/>
  <c r="H10" i="8"/>
  <c r="H11" i="8"/>
  <c r="E15" i="8"/>
  <c r="L6" i="8"/>
  <c r="L7" i="8"/>
  <c r="L8" i="8"/>
  <c r="L9" i="8"/>
  <c r="L10" i="8"/>
  <c r="L11" i="8"/>
  <c r="L12" i="8"/>
  <c r="K6" i="8"/>
  <c r="K7" i="8"/>
  <c r="K8" i="8"/>
  <c r="K9" i="8"/>
  <c r="K10" i="8"/>
  <c r="K11" i="8"/>
  <c r="K12" i="8"/>
  <c r="G11" i="8"/>
  <c r="E11" i="8"/>
  <c r="C11" i="8"/>
  <c r="C43" i="7"/>
  <c r="B32" i="7"/>
  <c r="B43" i="7"/>
  <c r="B47" i="7" s="1"/>
  <c r="I42" i="7"/>
  <c r="C10" i="7"/>
  <c r="B10" i="7"/>
  <c r="H10" i="5"/>
  <c r="K10" i="5"/>
  <c r="H9" i="5"/>
  <c r="I9" i="5"/>
  <c r="H8" i="5"/>
  <c r="K8" i="5"/>
  <c r="H7" i="5"/>
  <c r="L7" i="5"/>
  <c r="H6" i="5"/>
  <c r="L6" i="5"/>
  <c r="K7" i="5"/>
  <c r="K6" i="5"/>
  <c r="F6" i="5"/>
  <c r="G6" i="5"/>
  <c r="G7" i="5"/>
  <c r="G8" i="5"/>
  <c r="G9" i="5"/>
  <c r="G10" i="5"/>
  <c r="G21" i="5"/>
  <c r="C7" i="6"/>
  <c r="C5" i="6"/>
  <c r="C45" i="6"/>
  <c r="C29" i="6"/>
  <c r="C23" i="6"/>
  <c r="C12" i="6"/>
  <c r="B47" i="6"/>
  <c r="B45" i="6"/>
  <c r="B34" i="6"/>
  <c r="B49" i="6"/>
  <c r="B7" i="6"/>
  <c r="B5" i="6"/>
  <c r="B9" i="6"/>
  <c r="F50" i="6"/>
  <c r="D45" i="6"/>
  <c r="I44" i="6"/>
  <c r="D34" i="6"/>
  <c r="C9" i="6"/>
  <c r="E11" i="5"/>
  <c r="C11" i="5"/>
  <c r="C34" i="6"/>
  <c r="C49" i="6"/>
  <c r="G11" i="5"/>
  <c r="D5" i="2"/>
  <c r="F6" i="3"/>
  <c r="G6" i="3"/>
  <c r="H6" i="3"/>
  <c r="I6" i="3"/>
  <c r="G7" i="3"/>
  <c r="H7" i="3"/>
  <c r="I7" i="3"/>
  <c r="G8" i="3"/>
  <c r="H8" i="3"/>
  <c r="I8" i="3"/>
  <c r="G9" i="3"/>
  <c r="H9" i="3"/>
  <c r="I9" i="3"/>
  <c r="G10" i="3"/>
  <c r="H10" i="3"/>
  <c r="I10" i="3"/>
  <c r="I11" i="3"/>
  <c r="D8" i="2"/>
  <c r="D12" i="2"/>
  <c r="F49" i="2"/>
  <c r="B15" i="3"/>
  <c r="I43" i="2"/>
  <c r="D46" i="2"/>
  <c r="H15" i="3"/>
  <c r="H11" i="3"/>
  <c r="E15" i="3"/>
  <c r="G15" i="3"/>
  <c r="D2" i="4"/>
  <c r="D6" i="4"/>
  <c r="J6" i="4"/>
  <c r="E6" i="4"/>
  <c r="F6" i="4"/>
  <c r="I6" i="4"/>
  <c r="H6" i="4"/>
  <c r="G6" i="4"/>
  <c r="D5" i="4"/>
  <c r="J5" i="4"/>
  <c r="E5" i="4"/>
  <c r="F5" i="4"/>
  <c r="I5" i="4"/>
  <c r="H5" i="4"/>
  <c r="G5" i="4"/>
  <c r="D4" i="4"/>
  <c r="J4" i="4"/>
  <c r="E4" i="4"/>
  <c r="F4" i="4"/>
  <c r="I4" i="4"/>
  <c r="H4" i="4"/>
  <c r="G4" i="4"/>
  <c r="D3" i="4"/>
  <c r="J3" i="4"/>
  <c r="E3" i="4"/>
  <c r="F3" i="4"/>
  <c r="I3" i="4"/>
  <c r="H3" i="4"/>
  <c r="G3" i="4"/>
  <c r="E2" i="4"/>
  <c r="F2" i="4"/>
  <c r="I2" i="4"/>
  <c r="H2" i="4"/>
  <c r="G2" i="4"/>
  <c r="F22" i="2"/>
  <c r="C8" i="2"/>
  <c r="E11" i="3"/>
  <c r="C11" i="3"/>
  <c r="I15" i="3"/>
  <c r="G11" i="3"/>
  <c r="B44" i="2"/>
  <c r="B33" i="2"/>
  <c r="B5" i="2"/>
  <c r="B12" i="2"/>
  <c r="D44" i="2"/>
  <c r="C44" i="2"/>
  <c r="D33" i="2"/>
  <c r="C33" i="2"/>
  <c r="C12" i="2"/>
  <c r="D48" i="2"/>
  <c r="B48" i="2"/>
  <c r="C48" i="2"/>
  <c r="H41" i="1"/>
  <c r="D5" i="1"/>
  <c r="D38" i="1"/>
  <c r="D28" i="1"/>
  <c r="D42" i="1"/>
  <c r="C38" i="1"/>
  <c r="B38" i="1"/>
  <c r="C28" i="1"/>
  <c r="B28" i="1"/>
  <c r="B42" i="1"/>
  <c r="C10" i="1"/>
  <c r="B10" i="1"/>
  <c r="C42" i="1"/>
  <c r="D10" i="1"/>
  <c r="I10" i="5"/>
  <c r="L10" i="5"/>
  <c r="L9" i="5"/>
  <c r="L11" i="5"/>
  <c r="L12" i="5"/>
  <c r="K9" i="5"/>
  <c r="I8" i="5"/>
  <c r="L8" i="5"/>
  <c r="H11" i="5"/>
  <c r="E15" i="5"/>
  <c r="G15" i="5"/>
  <c r="I7" i="5"/>
  <c r="K11" i="5"/>
  <c r="K12" i="5"/>
  <c r="I6" i="5"/>
  <c r="I11" i="5"/>
  <c r="H15" i="5"/>
  <c r="I15" i="5"/>
  <c r="D47" i="6"/>
  <c r="D49" i="6"/>
  <c r="D5" i="6"/>
  <c r="D9" i="6"/>
  <c r="K20" i="5"/>
  <c r="D7" i="6"/>
  <c r="F4" i="6"/>
  <c r="D10" i="10" l="1"/>
  <c r="D11" i="10" s="1"/>
  <c r="F47" i="10"/>
  <c r="G11" i="13"/>
  <c r="H6" i="13"/>
  <c r="L7" i="13"/>
  <c r="K7" i="13"/>
  <c r="I7" i="13"/>
  <c r="L8" i="13"/>
  <c r="K8" i="13"/>
  <c r="I8" i="13"/>
  <c r="L9" i="13"/>
  <c r="K9" i="13"/>
  <c r="I9" i="13"/>
  <c r="L10" i="13"/>
  <c r="K10" i="13"/>
  <c r="I10" i="13"/>
  <c r="D46" i="12"/>
  <c r="B46" i="10"/>
  <c r="C31" i="10"/>
  <c r="C46" i="10" s="1"/>
  <c r="I11" i="8"/>
  <c r="D7" i="7" s="1"/>
  <c r="D10" i="7" s="1"/>
  <c r="G11" i="11"/>
  <c r="H6" i="11"/>
  <c r="I6" i="11" s="1"/>
  <c r="L7" i="11"/>
  <c r="K7" i="11"/>
  <c r="L8" i="11"/>
  <c r="K8" i="11"/>
  <c r="L9" i="11"/>
  <c r="K9" i="11"/>
  <c r="I9" i="11"/>
  <c r="L10" i="11"/>
  <c r="K10" i="11"/>
  <c r="I10" i="11"/>
  <c r="I9" i="10"/>
  <c r="D47" i="7"/>
  <c r="E5" i="7"/>
  <c r="D5" i="12" l="1"/>
  <c r="D10" i="12" s="1"/>
  <c r="D11" i="12" s="1"/>
  <c r="H11" i="13"/>
  <c r="E15" i="13" s="1"/>
  <c r="G15" i="13" s="1"/>
  <c r="L6" i="13"/>
  <c r="L11" i="13" s="1"/>
  <c r="L12" i="13" s="1"/>
  <c r="K6" i="13"/>
  <c r="K11" i="13" s="1"/>
  <c r="K12" i="13" s="1"/>
  <c r="I6" i="13"/>
  <c r="I11" i="13" s="1"/>
  <c r="I47" i="12"/>
  <c r="F47" i="12"/>
  <c r="F50" i="12" s="1"/>
  <c r="I47" i="10"/>
  <c r="F50" i="10"/>
  <c r="G21" i="11"/>
  <c r="F4" i="7"/>
  <c r="K20" i="8"/>
  <c r="H15" i="8"/>
  <c r="H11" i="11"/>
  <c r="E15" i="11" s="1"/>
  <c r="L6" i="11"/>
  <c r="L11" i="11" s="1"/>
  <c r="L12" i="11" s="1"/>
  <c r="K6" i="11"/>
  <c r="K11" i="11" s="1"/>
  <c r="K12" i="11" s="1"/>
  <c r="I11" i="11"/>
  <c r="I48" i="7"/>
  <c r="F48" i="7"/>
  <c r="F51" i="7" s="1"/>
  <c r="G21" i="8"/>
  <c r="G15" i="8"/>
  <c r="E5" i="12" l="1"/>
  <c r="K20" i="13"/>
  <c r="H15" i="13"/>
  <c r="I15" i="13" s="1"/>
  <c r="G15" i="11"/>
  <c r="K20" i="11"/>
  <c r="H15" i="11"/>
  <c r="I15" i="11" s="1"/>
</calcChain>
</file>

<file path=xl/sharedStrings.xml><?xml version="1.0" encoding="utf-8"?>
<sst xmlns="http://schemas.openxmlformats.org/spreadsheetml/2006/main" count="578" uniqueCount="212">
  <si>
    <t>Income</t>
  </si>
  <si>
    <t>Maintenance Income</t>
  </si>
  <si>
    <t>Late Fee Income</t>
  </si>
  <si>
    <t>Reimbursed Legal fees</t>
  </si>
  <si>
    <t>Interest Income</t>
  </si>
  <si>
    <t>Total Income</t>
  </si>
  <si>
    <t>Expenses</t>
  </si>
  <si>
    <t>Manangement Fee</t>
  </si>
  <si>
    <t>Legal Fees</t>
  </si>
  <si>
    <t>License/Permit fees</t>
  </si>
  <si>
    <t>Accounting</t>
  </si>
  <si>
    <t>Bank Fees</t>
  </si>
  <si>
    <t>Office/Admin</t>
  </si>
  <si>
    <t>Insurance</t>
  </si>
  <si>
    <t>Electric</t>
  </si>
  <si>
    <t>Trash/Waste</t>
  </si>
  <si>
    <t>Utilities</t>
  </si>
  <si>
    <t>Lawn Maintenance</t>
  </si>
  <si>
    <t>Landscape Improvements</t>
  </si>
  <si>
    <t>Irrigation Expense</t>
  </si>
  <si>
    <t>Tree Trimming</t>
  </si>
  <si>
    <t>Total Admin Expenses</t>
  </si>
  <si>
    <t>Maintenance Expenses</t>
  </si>
  <si>
    <t>Building/Driveway Expense</t>
  </si>
  <si>
    <t>Maintenance and Repairs</t>
  </si>
  <si>
    <t>Pool Service</t>
  </si>
  <si>
    <t>Pool Expenses</t>
  </si>
  <si>
    <t>Janitorial Expenses</t>
  </si>
  <si>
    <t>Pest Control</t>
  </si>
  <si>
    <t>Roofs/Gutters Expense</t>
  </si>
  <si>
    <t>Total Maintenance Expense</t>
  </si>
  <si>
    <t>Reserve Contributions</t>
  </si>
  <si>
    <t>Loan Expense</t>
  </si>
  <si>
    <t xml:space="preserve">Total Expenses </t>
  </si>
  <si>
    <t>Approved Budget 2018</t>
  </si>
  <si>
    <t>Actual Expenses 2018</t>
  </si>
  <si>
    <t>Approved Budget 2019</t>
  </si>
  <si>
    <t>Misc Income (Reserves)</t>
  </si>
  <si>
    <t xml:space="preserve">Quarterly Maintenance Fees Per Unit $1200.00 which includes reserves.  $1126.50.00 of the fees is strictly for the budget and $73.50 goes towards reserves quarterly per Unit of 50 Units.  </t>
  </si>
  <si>
    <t xml:space="preserve">LOC is only estimated at $40,000.00 for 2019 which is not accurate for repayment on loan as only $200.00 per Unit per quarter is paying towards the loan.  It should be estimated at approx $150.00 per Unit per month to pay the full LOC back to the bank in 10 years with interest.  Association will be at a shortfall on loan repayment once the job is completed.  </t>
  </si>
  <si>
    <t>Provence Condominium Association Inc Budget for 2019
January 1, 2019 to December 31, 2019</t>
  </si>
  <si>
    <t>LOC $848,000.00</t>
  </si>
  <si>
    <t>Appox $52,000.00 in interest (maybe not sure)</t>
  </si>
  <si>
    <t>Total LOC is $900,000.00</t>
  </si>
  <si>
    <t>50 Units over 120 months</t>
  </si>
  <si>
    <t xml:space="preserve">$150.00 per month for an assessment per Unit </t>
  </si>
  <si>
    <t xml:space="preserve">Shortfall only estimate $40,000.00 per year to repay </t>
  </si>
  <si>
    <t>Equals $200.00 per quarter per Unit</t>
  </si>
  <si>
    <t>Shortfall of $250.00 per quarter per Unit</t>
  </si>
  <si>
    <t>Actual Expenses 2019</t>
  </si>
  <si>
    <t>Postage</t>
  </si>
  <si>
    <t>Spa Expense</t>
  </si>
  <si>
    <t>Utilities - water</t>
  </si>
  <si>
    <t>Item</t>
  </si>
  <si>
    <t>Estimated</t>
  </si>
  <si>
    <t xml:space="preserve">Estimated </t>
  </si>
  <si>
    <t>% Per Each</t>
  </si>
  <si>
    <t xml:space="preserve">Money in </t>
  </si>
  <si>
    <t xml:space="preserve">Amount </t>
  </si>
  <si>
    <t>Required</t>
  </si>
  <si>
    <t>Life</t>
  </si>
  <si>
    <t>Cost</t>
  </si>
  <si>
    <t>Remaining life</t>
  </si>
  <si>
    <t>Reserve</t>
  </si>
  <si>
    <t>Reserves</t>
  </si>
  <si>
    <t>Account</t>
  </si>
  <si>
    <t>for Life</t>
  </si>
  <si>
    <t>Full Reserves</t>
  </si>
  <si>
    <t>Partial Reserves</t>
  </si>
  <si>
    <t>Roof</t>
  </si>
  <si>
    <t>Restoration</t>
  </si>
  <si>
    <t>Pool</t>
  </si>
  <si>
    <t>Parking lot</t>
  </si>
  <si>
    <t>Paint</t>
  </si>
  <si>
    <t>Total</t>
  </si>
  <si>
    <t>Maintenance Fee Without Reserve</t>
  </si>
  <si>
    <t>Maintenance Fee With Reserve</t>
  </si>
  <si>
    <t>*The Florida Statues require the Board of Directors to adopt a budget with full reserves.  The unit owners at a duly called meeting, may vote against the funding of full reserves or may opt to vot for reserves "less than adequate". (Partial Reserves)</t>
  </si>
  <si>
    <t>Quarterly</t>
  </si>
  <si>
    <t>50 Units</t>
  </si>
  <si>
    <t>Full Reserves Quarterly Cost</t>
  </si>
  <si>
    <t>Quarterly Fee</t>
  </si>
  <si>
    <t>Engineer and Permit fees</t>
  </si>
  <si>
    <t>Extra On Project</t>
  </si>
  <si>
    <t>Loan Repayment</t>
  </si>
  <si>
    <t>Assessment on Loan</t>
  </si>
  <si>
    <t>Bank Loan Repayment</t>
  </si>
  <si>
    <t>Bank Loan Amount</t>
  </si>
  <si>
    <t xml:space="preserve">Interest </t>
  </si>
  <si>
    <t>Interest for Years</t>
  </si>
  <si>
    <t>Total on LOC Bank Loan Repayment</t>
  </si>
  <si>
    <t>Per Unit Per Year (50 Units)</t>
  </si>
  <si>
    <t>Per Month per Unit</t>
  </si>
  <si>
    <t>Per Quarter per Unit</t>
  </si>
  <si>
    <t>Payments twice a year per Unit</t>
  </si>
  <si>
    <t>Savings on repayment on Interest in 10 Years</t>
  </si>
  <si>
    <t>10 Year</t>
  </si>
  <si>
    <t>7 year</t>
  </si>
  <si>
    <t>5 year</t>
  </si>
  <si>
    <t>4 year</t>
  </si>
  <si>
    <t>3 year</t>
  </si>
  <si>
    <t>LOC Bank Loan is only estimated at $40,000.00 for 2019 which is not accurate for repayment on loan as only $200.00 per Unit per quarter is paying towards the loan.  It should be estimated at approx $150.00 per Unit per month  plus $200.00 to pay the full LOC Bank Loan back to the bank in 10 years with interest.  Association will be at a shortfall on loan repayment once the job is completed.  
The association’s plan is to not raise the HOA which will be more attractive to buyers thus keeping the allocated $40,000 and repurpose those additional funds so the community will be able to increase the  savings to have the funds for the following projects that will need attending to: Road Resurfacing, Landscaping, Roofing, Electric light repair, Pool area updates etc; where the board deems necessary so the funds are available.</t>
  </si>
  <si>
    <t>5 year repayment</t>
  </si>
  <si>
    <t>added</t>
  </si>
  <si>
    <t>this number depends on reserve %</t>
  </si>
  <si>
    <t>we might be able to lower</t>
  </si>
  <si>
    <t>Partial Reserves 4.8%</t>
  </si>
  <si>
    <t>Partial with Maint. 4.8%</t>
  </si>
  <si>
    <t>Approved Budget 2020</t>
  </si>
  <si>
    <t>$1159.33 per unit</t>
  </si>
  <si>
    <t>Reserves for 2020 Amended</t>
  </si>
  <si>
    <t>Provence Condominium Association Inc Budget for 2020
January 1, 2020 to December 31, 2020
Amended Budget 2020</t>
  </si>
  <si>
    <t>amended</t>
  </si>
  <si>
    <t xml:space="preserve">Quarterly Maintenance Fees Per Unit $1159.33 which does not include reserves for 2020.  Members voted for partial reserves at $40.67 total quarterly fees starting January 1, 2020 will be $1200.00 per our Special Meeting on 12/16/19.  </t>
  </si>
  <si>
    <t xml:space="preserve">Coupons will be mailed to all Unit Owners as the were ordered on 12/16/19.  The Board decided to keep our budget the same as 2019 as these funds will be added to our parking lot and building repairs for 2020.  We wish everyone a Happy and Healthy New Year.  </t>
  </si>
  <si>
    <t>2020 Budget - 4.8%</t>
  </si>
  <si>
    <t>2020 Budget</t>
  </si>
  <si>
    <t>Reserves for 2021 Amended</t>
  </si>
  <si>
    <t>2021 Budget</t>
  </si>
  <si>
    <t>Actual Expenses 2020</t>
  </si>
  <si>
    <t>Construction Project</t>
  </si>
  <si>
    <t>Electrical Upgrades</t>
  </si>
  <si>
    <t>Light Repairs</t>
  </si>
  <si>
    <t>Paint Expense</t>
  </si>
  <si>
    <t>Plumbing Expense</t>
  </si>
  <si>
    <t>Proposed Budget 2021</t>
  </si>
  <si>
    <t xml:space="preserve">Provence Condominium Association Inc Budget for 2021
January 1, 2021 to December 31, 2021
</t>
  </si>
  <si>
    <t>2021 Budget - 15%</t>
  </si>
  <si>
    <t>Partial Reserves 15%</t>
  </si>
  <si>
    <t>Partial with Maint. 15%</t>
  </si>
  <si>
    <t>5</t>
  </si>
  <si>
    <t xml:space="preserve">Quarterly maintenance will be $1204.00 per quarter.  This number does not represent reserves which is voted by the Unit Owners at the Annual Meeting.  Please review the reserves on the back of the budget sheet for 2021.  </t>
  </si>
  <si>
    <t>Approved Budget 2021</t>
  </si>
  <si>
    <t>Estimated Expenses 2021</t>
  </si>
  <si>
    <t>this number depends on reserve %  YES</t>
  </si>
  <si>
    <t xml:space="preserve">we were short in funding reserves </t>
  </si>
  <si>
    <t>Assessment Income</t>
  </si>
  <si>
    <t>2022 Budget</t>
  </si>
  <si>
    <t>ESTIMATED FUNDS NEEED FOR PROVENCE PROJECTS</t>
  </si>
  <si>
    <t>Associated Project</t>
  </si>
  <si>
    <t>Notes</t>
  </si>
  <si>
    <t>Amount</t>
  </si>
  <si>
    <t>Pool Building</t>
  </si>
  <si>
    <t>Building Estimate</t>
  </si>
  <si>
    <t>includes renovating Grill Area</t>
  </si>
  <si>
    <t>Approximate probably less .. painting?</t>
  </si>
  <si>
    <t>Approximate</t>
  </si>
  <si>
    <t>Fence Extension</t>
  </si>
  <si>
    <t>Extension of Fence                 (Remaining Arch Area)</t>
  </si>
  <si>
    <t>Per Estimate from Bulldog Fence</t>
  </si>
  <si>
    <t>Lighting</t>
  </si>
  <si>
    <t>Gutters</t>
  </si>
  <si>
    <t>Possibly replace gutters to match complex.</t>
  </si>
  <si>
    <t>Pool Deck</t>
  </si>
  <si>
    <t>Furniture</t>
  </si>
  <si>
    <t>Grill</t>
  </si>
  <si>
    <t>There are companies that can restore the existing grill for less.</t>
  </si>
  <si>
    <t>Pool/Spa</t>
  </si>
  <si>
    <t>Resurface</t>
  </si>
  <si>
    <t>H&amp;H raised their price on June 4th</t>
  </si>
  <si>
    <t>was $9,400.00</t>
  </si>
  <si>
    <t>Chemicals</t>
  </si>
  <si>
    <t>included</t>
  </si>
  <si>
    <t>Community Project</t>
  </si>
  <si>
    <t>Landscaping</t>
  </si>
  <si>
    <t>I’m sure we’ll need more, but it’s a start.</t>
  </si>
  <si>
    <t>Electrical</t>
  </si>
  <si>
    <t>Island lighting</t>
  </si>
  <si>
    <t>Approximate - I suggest delaying this and use funds towards Electric Box deposits for Building 6&amp;7.</t>
  </si>
  <si>
    <t>Roof Soffits</t>
  </si>
  <si>
    <t>Estimate needed</t>
  </si>
  <si>
    <t>I suggest getting bid from Javier and his guys. This has to be fixed because birds are flying in certain roofs.</t>
  </si>
  <si>
    <t>Roof Cleaning</t>
  </si>
  <si>
    <t>Estimate needed pressure clean roofs.</t>
  </si>
  <si>
    <t>Loan Fees</t>
  </si>
  <si>
    <t>Fees Charged for Refinance</t>
  </si>
  <si>
    <t>Estimated/bank proposed 8.33 years adding on to our current loan due to April 1, 2030.  est $4500.00</t>
  </si>
  <si>
    <t>TOTAL</t>
  </si>
  <si>
    <t>TBD</t>
  </si>
  <si>
    <t xml:space="preserve">Assessment per Unit either $1000.00 for $50,000.00 or $12000.00 is $60,000.00 or $1400.00 is $70,000.00.  We can do these payments either by:  Full payment, 2 quarterly payments or 6 equal monthly payments  </t>
  </si>
  <si>
    <t>Decision to keep existing gutters!</t>
  </si>
  <si>
    <t>Approximate - if Restored. Time Clock for gas is $160.00 would need to be installed.</t>
  </si>
  <si>
    <t>Electric Box completion Appox? There have been price increases on the equipment.</t>
  </si>
  <si>
    <t>Buildings 4-7</t>
  </si>
  <si>
    <t>French Drain</t>
  </si>
  <si>
    <t>Behind Building 1</t>
  </si>
  <si>
    <t>GRC?</t>
  </si>
  <si>
    <t>Fees Charged for Refinance along with CPA fee for financial report. $9K Total.</t>
  </si>
  <si>
    <t>Estimated/bank proposed 8.33 years adding on to our current loan due to April 1, 2030.</t>
  </si>
  <si>
    <t>Approved Budget 2022</t>
  </si>
  <si>
    <t xml:space="preserve">Provence Condominium Association Inc Proposed Budget for 2022
January 1, 2022 to December 31, 2022
Amended for 2022
</t>
  </si>
  <si>
    <t xml:space="preserve">Quarterly maintenance will be $1332.00 per quarter which includes partial reserves starting January 1, 2022.   </t>
  </si>
  <si>
    <t xml:space="preserve">Provence Condominium Association Inc Proposed Budget for 2023
January 1, 2023 to December 31, 2023
</t>
  </si>
  <si>
    <t>Estimated Expenses 2022</t>
  </si>
  <si>
    <t>Reserves for 2023</t>
  </si>
  <si>
    <t>2023 Budget</t>
  </si>
  <si>
    <t>2022 Budget - 5%</t>
  </si>
  <si>
    <t>Reserves for 2023 Amended</t>
  </si>
  <si>
    <t>Pool and Spa Service</t>
  </si>
  <si>
    <t>Pool/Spa Expenses</t>
  </si>
  <si>
    <t>2023 Budget - 20%</t>
  </si>
  <si>
    <t>Income without Assessment</t>
  </si>
  <si>
    <t>Loan Repayment (not included in expenses)</t>
  </si>
  <si>
    <t>Approved Budget 2023</t>
  </si>
  <si>
    <t>Estimated Expenses 2023</t>
  </si>
  <si>
    <t>Proposed Budget 2024</t>
  </si>
  <si>
    <t>Reserves for 2024</t>
  </si>
  <si>
    <t>2024 Budget</t>
  </si>
  <si>
    <t xml:space="preserve">Provence Condominium Association Inc Proposed Budget for 2024
January 1, 2024 to December 31, 2024
</t>
  </si>
  <si>
    <t xml:space="preserve">Quarterly maintenance will be $1260.00 per quarter which does not include reserves January 1, 2024.   </t>
  </si>
  <si>
    <t>2024 Budget - 15%</t>
  </si>
  <si>
    <t xml:space="preserve">Quarterly maintenance will be $1345.00 per quarter which does not include reserves January 1,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</si>
</sst>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quot;$&quot;#,##0"/>
    <numFmt numFmtId="166" formatCode="_-&quot;$&quot;* #,##0.00_-;_-&quot;$&quot;* \(#,##0.00\)_-;_-&quot;$&quot;* &quot;-&quot;??;_-@_-"/>
  </numFmts>
  <fonts count="14">
    <font>
      <sz val="11"/>
      <color theme="1"/>
      <name val="Calibri"/>
      <family val="2"/>
      <scheme val="minor"/>
    </font>
    <font>
      <b/>
      <sz val="11"/>
      <color theme="1"/>
      <name val="Calibri"/>
      <family val="2"/>
      <scheme val="minor"/>
    </font>
    <font>
      <b/>
      <sz val="12"/>
      <color theme="1"/>
      <name val="Calibri"/>
      <family val="2"/>
      <scheme val="minor"/>
    </font>
    <font>
      <b/>
      <u/>
      <sz val="18"/>
      <name val="Arial"/>
      <family val="2"/>
    </font>
    <font>
      <sz val="18"/>
      <color theme="1"/>
      <name val="Calibri"/>
      <family val="2"/>
      <scheme val="minor"/>
    </font>
    <font>
      <b/>
      <sz val="18"/>
      <name val="Arial"/>
      <family val="2"/>
    </font>
    <font>
      <sz val="18"/>
      <name val="Arial"/>
      <family val="2"/>
    </font>
    <font>
      <b/>
      <sz val="14"/>
      <color theme="1"/>
      <name val="Calibri"/>
      <family val="2"/>
      <scheme val="minor"/>
    </font>
    <font>
      <sz val="14"/>
      <color theme="1"/>
      <name val="Calibri"/>
      <family val="2"/>
      <scheme val="minor"/>
    </font>
    <font>
      <b/>
      <sz val="18"/>
      <color theme="1"/>
      <name val="Calibri"/>
      <family val="2"/>
      <scheme val="minor"/>
    </font>
    <font>
      <b/>
      <sz val="10"/>
      <color indexed="8"/>
      <name val="Helvetica Neue"/>
    </font>
    <font>
      <b/>
      <sz val="24"/>
      <color theme="1"/>
      <name val="Calibri"/>
      <family val="2"/>
      <scheme val="minor"/>
    </font>
    <font>
      <sz val="12"/>
      <color indexed="8"/>
      <name val="Helvetica Neue"/>
    </font>
    <font>
      <i/>
      <sz val="18"/>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auto="1"/>
      </patternFill>
    </fill>
    <fill>
      <patternFill patternType="solid">
        <fgColor indexed="11"/>
        <bgColor auto="1"/>
      </patternFill>
    </fill>
    <fill>
      <patternFill patternType="solid">
        <fgColor indexed="13"/>
        <bgColor auto="1"/>
      </patternFill>
    </fill>
  </fills>
  <borders count="3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indexed="64"/>
      </top>
      <bottom/>
      <diagonal/>
    </border>
    <border>
      <left style="thin">
        <color auto="1"/>
      </left>
      <right/>
      <top style="thin">
        <color auto="1"/>
      </top>
      <bottom style="thin">
        <color auto="1"/>
      </bottom>
      <diagonal/>
    </border>
    <border>
      <left style="thin">
        <color indexed="10"/>
      </left>
      <right style="thin">
        <color indexed="10"/>
      </right>
      <top style="thin">
        <color indexed="10"/>
      </top>
      <bottom style="medium">
        <color indexed="8"/>
      </bottom>
      <diagonal/>
    </border>
    <border>
      <left style="thin">
        <color indexed="10"/>
      </left>
      <right style="thin">
        <color indexed="10"/>
      </right>
      <top style="medium">
        <color indexed="8"/>
      </top>
      <bottom style="thin">
        <color indexed="12"/>
      </bottom>
      <diagonal/>
    </border>
    <border>
      <left style="thin">
        <color indexed="10"/>
      </left>
      <right style="thin">
        <color indexed="10"/>
      </right>
      <top style="thin">
        <color indexed="12"/>
      </top>
      <bottom style="thin">
        <color indexed="10"/>
      </bottom>
      <diagonal/>
    </border>
    <border>
      <left style="thin">
        <color indexed="10"/>
      </left>
      <right style="thin">
        <color indexed="12"/>
      </right>
      <top style="thin">
        <color indexed="12"/>
      </top>
      <bottom style="thin">
        <color indexed="10"/>
      </bottom>
      <diagonal/>
    </border>
    <border>
      <left style="thin">
        <color indexed="12"/>
      </left>
      <right style="thin">
        <color indexed="10"/>
      </right>
      <top style="thin">
        <color indexed="12"/>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2"/>
      </right>
      <top style="thin">
        <color indexed="10"/>
      </top>
      <bottom style="thin">
        <color indexed="10"/>
      </bottom>
      <diagonal/>
    </border>
    <border>
      <left style="thin">
        <color indexed="12"/>
      </left>
      <right style="thin">
        <color indexed="10"/>
      </right>
      <top style="thin">
        <color indexed="10"/>
      </top>
      <bottom style="thin">
        <color indexed="10"/>
      </bottom>
      <diagonal/>
    </border>
    <border>
      <left style="thin">
        <color indexed="10"/>
      </left>
      <right style="thin">
        <color indexed="12"/>
      </right>
      <top style="thin">
        <color indexed="10"/>
      </top>
      <bottom style="medium">
        <color indexed="8"/>
      </bottom>
      <diagonal/>
    </border>
    <border>
      <left style="thin">
        <color indexed="12"/>
      </left>
      <right style="thin">
        <color indexed="10"/>
      </right>
      <top style="thin">
        <color indexed="10"/>
      </top>
      <bottom style="medium">
        <color indexed="8"/>
      </bottom>
      <diagonal/>
    </border>
  </borders>
  <cellStyleXfs count="1">
    <xf numFmtId="0" fontId="0" fillId="0" borderId="0"/>
  </cellStyleXfs>
  <cellXfs count="156">
    <xf numFmtId="0" fontId="0" fillId="0" borderId="0" xfId="0"/>
    <xf numFmtId="164" fontId="0" fillId="0" borderId="0" xfId="0" applyNumberFormat="1"/>
    <xf numFmtId="164" fontId="0" fillId="0" borderId="0" xfId="0" applyNumberFormat="1" applyAlignment="1">
      <alignment horizontal="center"/>
    </xf>
    <xf numFmtId="164" fontId="0" fillId="0" borderId="1" xfId="0" applyNumberFormat="1" applyBorder="1" applyAlignment="1">
      <alignment horizontal="center"/>
    </xf>
    <xf numFmtId="164" fontId="1" fillId="0" borderId="0" xfId="0" applyNumberFormat="1" applyFont="1" applyAlignment="1">
      <alignment horizontal="center"/>
    </xf>
    <xf numFmtId="0" fontId="1" fillId="0" borderId="0" xfId="0" applyFont="1"/>
    <xf numFmtId="0" fontId="4" fillId="0" borderId="0" xfId="0" applyFont="1"/>
    <xf numFmtId="0" fontId="5" fillId="0" borderId="9" xfId="0" applyFont="1" applyBorder="1" applyAlignment="1">
      <alignment horizontal="center"/>
    </xf>
    <xf numFmtId="0" fontId="5" fillId="0" borderId="10" xfId="0" applyFont="1" applyBorder="1" applyAlignment="1">
      <alignment horizontal="center"/>
    </xf>
    <xf numFmtId="2" fontId="5" fillId="0" borderId="10" xfId="0" applyNumberFormat="1" applyFont="1" applyBorder="1" applyAlignment="1">
      <alignment horizontal="center"/>
    </xf>
    <xf numFmtId="0" fontId="5" fillId="0" borderId="11" xfId="0" applyFont="1" applyBorder="1" applyAlignment="1">
      <alignment horizontal="center"/>
    </xf>
    <xf numFmtId="49" fontId="6" fillId="0" borderId="0" xfId="0" applyNumberFormat="1" applyFont="1" applyAlignment="1">
      <alignment horizontal="left" indent="2"/>
    </xf>
    <xf numFmtId="37" fontId="6" fillId="0" borderId="0" xfId="0" applyNumberFormat="1" applyFont="1"/>
    <xf numFmtId="0" fontId="5" fillId="0" borderId="12" xfId="0" applyFont="1" applyBorder="1" applyAlignment="1">
      <alignment horizontal="center"/>
    </xf>
    <xf numFmtId="0" fontId="5" fillId="0" borderId="13" xfId="0" applyFont="1" applyBorder="1" applyAlignment="1">
      <alignment horizontal="center"/>
    </xf>
    <xf numFmtId="2" fontId="5" fillId="0" borderId="13" xfId="0" applyNumberFormat="1" applyFont="1" applyBorder="1" applyAlignment="1">
      <alignment horizontal="center"/>
    </xf>
    <xf numFmtId="0" fontId="5" fillId="0" borderId="14" xfId="0" applyFont="1" applyBorder="1" applyAlignment="1">
      <alignment horizontal="center"/>
    </xf>
    <xf numFmtId="14" fontId="5" fillId="0" borderId="13" xfId="0" applyNumberFormat="1" applyFont="1" applyBorder="1" applyAlignment="1">
      <alignment horizontal="center"/>
    </xf>
    <xf numFmtId="0" fontId="4" fillId="0" borderId="13" xfId="0" applyFont="1" applyBorder="1" applyAlignment="1">
      <alignment horizontal="center"/>
    </xf>
    <xf numFmtId="164" fontId="4" fillId="2" borderId="13" xfId="0" applyNumberFormat="1" applyFont="1" applyFill="1" applyBorder="1" applyAlignment="1">
      <alignment horizontal="center"/>
    </xf>
    <xf numFmtId="10" fontId="4" fillId="0" borderId="13" xfId="0" applyNumberFormat="1" applyFont="1" applyBorder="1" applyAlignment="1">
      <alignment horizontal="center"/>
    </xf>
    <xf numFmtId="164" fontId="4" fillId="0" borderId="13" xfId="0" applyNumberFormat="1" applyFont="1" applyBorder="1" applyAlignment="1">
      <alignment horizontal="center"/>
    </xf>
    <xf numFmtId="164" fontId="4" fillId="0" borderId="14" xfId="0" applyNumberFormat="1" applyFont="1" applyBorder="1" applyAlignment="1">
      <alignment horizontal="center"/>
    </xf>
    <xf numFmtId="164" fontId="6" fillId="0" borderId="14" xfId="0" applyNumberFormat="1" applyFont="1" applyBorder="1" applyAlignment="1">
      <alignment horizontal="center"/>
    </xf>
    <xf numFmtId="0" fontId="5" fillId="3" borderId="15" xfId="0" applyFont="1" applyFill="1" applyBorder="1" applyAlignment="1">
      <alignment horizontal="center"/>
    </xf>
    <xf numFmtId="0" fontId="5" fillId="3" borderId="16" xfId="0" applyFont="1" applyFill="1" applyBorder="1" applyAlignment="1">
      <alignment horizontal="center"/>
    </xf>
    <xf numFmtId="164" fontId="5" fillId="3" borderId="16" xfId="0" applyNumberFormat="1" applyFont="1" applyFill="1" applyBorder="1" applyAlignment="1">
      <alignment horizontal="center"/>
    </xf>
    <xf numFmtId="10" fontId="5" fillId="3" borderId="16" xfId="0" applyNumberFormat="1" applyFont="1" applyFill="1" applyBorder="1" applyAlignment="1">
      <alignment horizontal="center"/>
    </xf>
    <xf numFmtId="164" fontId="5" fillId="3" borderId="17" xfId="0" applyNumberFormat="1" applyFont="1" applyFill="1" applyBorder="1" applyAlignment="1">
      <alignment horizontal="center"/>
    </xf>
    <xf numFmtId="0" fontId="5" fillId="0" borderId="13" xfId="0" applyFont="1" applyBorder="1" applyAlignment="1">
      <alignment horizontal="center" wrapText="1"/>
    </xf>
    <xf numFmtId="0" fontId="7" fillId="0" borderId="13" xfId="0" applyFont="1" applyBorder="1" applyAlignment="1">
      <alignment horizontal="center" vertical="center" wrapText="1"/>
    </xf>
    <xf numFmtId="0" fontId="8" fillId="0" borderId="13" xfId="0" applyFont="1" applyBorder="1"/>
    <xf numFmtId="164" fontId="8" fillId="0" borderId="13" xfId="0" applyNumberFormat="1" applyFont="1" applyBorder="1"/>
    <xf numFmtId="10" fontId="8" fillId="0" borderId="13" xfId="0" applyNumberFormat="1" applyFont="1" applyBorder="1"/>
    <xf numFmtId="0" fontId="1" fillId="0" borderId="0" xfId="0" applyFont="1" applyAlignment="1">
      <alignment vertical="center" wrapText="1"/>
    </xf>
    <xf numFmtId="10" fontId="5" fillId="0" borderId="0" xfId="0" applyNumberFormat="1" applyFont="1" applyAlignment="1">
      <alignment horizontal="center" wrapText="1"/>
    </xf>
    <xf numFmtId="164" fontId="4" fillId="0" borderId="0" xfId="0" applyNumberFormat="1" applyFont="1" applyAlignment="1">
      <alignment horizontal="center"/>
    </xf>
    <xf numFmtId="164" fontId="4" fillId="0" borderId="0" xfId="0" applyNumberFormat="1" applyFont="1"/>
    <xf numFmtId="4" fontId="4" fillId="0" borderId="13" xfId="0" applyNumberFormat="1" applyFont="1" applyBorder="1" applyAlignment="1">
      <alignment horizontal="center"/>
    </xf>
    <xf numFmtId="165" fontId="4" fillId="0" borderId="13" xfId="0" applyNumberFormat="1" applyFont="1" applyBorder="1" applyAlignment="1">
      <alignment horizontal="center"/>
    </xf>
    <xf numFmtId="165" fontId="1" fillId="0" borderId="0" xfId="0" applyNumberFormat="1" applyFont="1" applyAlignment="1">
      <alignment horizontal="center"/>
    </xf>
    <xf numFmtId="165" fontId="0" fillId="0" borderId="0" xfId="0" applyNumberFormat="1" applyAlignment="1">
      <alignment horizontal="center"/>
    </xf>
    <xf numFmtId="165" fontId="5" fillId="3" borderId="17" xfId="0" applyNumberFormat="1" applyFont="1" applyFill="1" applyBorder="1" applyAlignment="1">
      <alignment horizontal="center"/>
    </xf>
    <xf numFmtId="0" fontId="5" fillId="4" borderId="13" xfId="0" applyFont="1" applyFill="1" applyBorder="1" applyAlignment="1">
      <alignment horizontal="center" wrapText="1"/>
    </xf>
    <xf numFmtId="164" fontId="9" fillId="4" borderId="13" xfId="0" applyNumberFormat="1" applyFont="1" applyFill="1" applyBorder="1" applyAlignment="1">
      <alignment horizontal="center"/>
    </xf>
    <xf numFmtId="0" fontId="7" fillId="4" borderId="13" xfId="0" applyFont="1" applyFill="1" applyBorder="1"/>
    <xf numFmtId="164" fontId="7" fillId="4" borderId="13" xfId="0" applyNumberFormat="1" applyFont="1" applyFill="1" applyBorder="1"/>
    <xf numFmtId="10" fontId="7" fillId="4" borderId="13" xfId="0" applyNumberFormat="1" applyFont="1" applyFill="1" applyBorder="1"/>
    <xf numFmtId="164" fontId="0" fillId="5" borderId="0" xfId="0" applyNumberFormat="1" applyFill="1" applyAlignment="1">
      <alignment horizontal="center"/>
    </xf>
    <xf numFmtId="0" fontId="0" fillId="5" borderId="0" xfId="0" applyFill="1"/>
    <xf numFmtId="0" fontId="0" fillId="0" borderId="0" xfId="0" applyAlignment="1">
      <alignment wrapText="1"/>
    </xf>
    <xf numFmtId="0" fontId="1" fillId="0" borderId="0" xfId="0" applyFont="1" applyAlignment="1">
      <alignment wrapText="1"/>
    </xf>
    <xf numFmtId="164" fontId="1" fillId="0" borderId="1" xfId="0" applyNumberFormat="1" applyFont="1" applyBorder="1" applyAlignment="1">
      <alignment horizontal="center"/>
    </xf>
    <xf numFmtId="37" fontId="4" fillId="0" borderId="0" xfId="0" applyNumberFormat="1" applyFont="1"/>
    <xf numFmtId="165" fontId="9" fillId="4" borderId="13" xfId="0" applyNumberFormat="1" applyFont="1" applyFill="1" applyBorder="1" applyAlignment="1">
      <alignment horizontal="center"/>
    </xf>
    <xf numFmtId="164" fontId="1" fillId="5" borderId="0" xfId="0" applyNumberFormat="1" applyFont="1" applyFill="1"/>
    <xf numFmtId="0" fontId="0" fillId="0" borderId="0" xfId="0" applyAlignment="1">
      <alignment vertical="top" wrapText="1"/>
    </xf>
    <xf numFmtId="0" fontId="10" fillId="0" borderId="13" xfId="0" applyFont="1" applyBorder="1" applyAlignment="1">
      <alignment vertical="top" wrapText="1"/>
    </xf>
    <xf numFmtId="49" fontId="10" fillId="0" borderId="13" xfId="0" applyNumberFormat="1" applyFont="1" applyBorder="1" applyAlignment="1">
      <alignment vertical="top" wrapText="1"/>
    </xf>
    <xf numFmtId="49" fontId="0" fillId="0" borderId="13" xfId="0" applyNumberFormat="1" applyBorder="1" applyAlignment="1">
      <alignment vertical="top" wrapText="1"/>
    </xf>
    <xf numFmtId="0" fontId="0" fillId="0" borderId="19" xfId="0" applyBorder="1" applyAlignment="1">
      <alignment horizontal="right" vertical="top" wrapText="1"/>
    </xf>
    <xf numFmtId="0" fontId="10" fillId="7" borderId="20" xfId="0" applyFont="1" applyFill="1" applyBorder="1" applyAlignment="1">
      <alignment vertical="top" wrapText="1"/>
    </xf>
    <xf numFmtId="49" fontId="10" fillId="7" borderId="20" xfId="0" applyNumberFormat="1" applyFont="1" applyFill="1" applyBorder="1" applyAlignment="1">
      <alignment vertical="top" wrapText="1"/>
    </xf>
    <xf numFmtId="49" fontId="10" fillId="8" borderId="21" xfId="0" applyNumberFormat="1" applyFont="1" applyFill="1" applyBorder="1" applyAlignment="1">
      <alignment vertical="top"/>
    </xf>
    <xf numFmtId="0" fontId="10" fillId="8" borderId="21" xfId="0" applyFont="1" applyFill="1" applyBorder="1" applyAlignment="1">
      <alignment vertical="top"/>
    </xf>
    <xf numFmtId="166" fontId="10" fillId="8" borderId="21" xfId="0" applyNumberFormat="1" applyFont="1" applyFill="1" applyBorder="1" applyAlignment="1">
      <alignment vertical="top"/>
    </xf>
    <xf numFmtId="0" fontId="10" fillId="9" borderId="22" xfId="0" applyFont="1" applyFill="1" applyBorder="1" applyAlignment="1">
      <alignment vertical="top" wrapText="1"/>
    </xf>
    <xf numFmtId="49" fontId="10" fillId="9" borderId="23" xfId="0" applyNumberFormat="1" applyFont="1" applyFill="1" applyBorder="1" applyAlignment="1">
      <alignment vertical="top" wrapText="1"/>
    </xf>
    <xf numFmtId="49" fontId="0" fillId="0" borderId="24" xfId="0" applyNumberFormat="1" applyBorder="1" applyAlignment="1">
      <alignment vertical="top" wrapText="1"/>
    </xf>
    <xf numFmtId="49" fontId="0" fillId="0" borderId="22" xfId="0" applyNumberFormat="1" applyBorder="1" applyAlignment="1">
      <alignment vertical="top" wrapText="1"/>
    </xf>
    <xf numFmtId="0" fontId="0" fillId="0" borderId="22" xfId="0" applyBorder="1" applyAlignment="1">
      <alignment vertical="top" wrapText="1"/>
    </xf>
    <xf numFmtId="0" fontId="10" fillId="9" borderId="25" xfId="0" applyFont="1" applyFill="1" applyBorder="1" applyAlignment="1">
      <alignment vertical="top" wrapText="1"/>
    </xf>
    <xf numFmtId="49" fontId="10" fillId="9" borderId="26" xfId="0" applyNumberFormat="1" applyFont="1" applyFill="1" applyBorder="1" applyAlignment="1">
      <alignment vertical="top" wrapText="1"/>
    </xf>
    <xf numFmtId="49" fontId="0" fillId="0" borderId="27" xfId="0" applyNumberFormat="1" applyBorder="1" applyAlignment="1">
      <alignment vertical="top" wrapText="1"/>
    </xf>
    <xf numFmtId="0" fontId="0" fillId="0" borderId="25" xfId="0" applyBorder="1" applyAlignment="1">
      <alignment vertical="top" wrapText="1"/>
    </xf>
    <xf numFmtId="49" fontId="0" fillId="0" borderId="25" xfId="0" applyNumberFormat="1" applyBorder="1" applyAlignment="1">
      <alignment vertical="top" wrapText="1"/>
    </xf>
    <xf numFmtId="0" fontId="10" fillId="9" borderId="20" xfId="0" applyFont="1" applyFill="1" applyBorder="1" applyAlignment="1">
      <alignment vertical="top" wrapText="1"/>
    </xf>
    <xf numFmtId="49" fontId="10" fillId="9" borderId="28" xfId="0" applyNumberFormat="1" applyFont="1" applyFill="1" applyBorder="1" applyAlignment="1">
      <alignment vertical="top" wrapText="1"/>
    </xf>
    <xf numFmtId="49" fontId="0" fillId="0" borderId="29" xfId="0" applyNumberFormat="1" applyBorder="1" applyAlignment="1">
      <alignment vertical="top" wrapText="1"/>
    </xf>
    <xf numFmtId="49" fontId="0" fillId="0" borderId="20" xfId="0" applyNumberFormat="1" applyBorder="1" applyAlignment="1">
      <alignment vertical="top" wrapText="1"/>
    </xf>
    <xf numFmtId="0" fontId="0" fillId="0" borderId="20" xfId="0" applyBorder="1" applyAlignment="1">
      <alignment vertical="top" wrapText="1"/>
    </xf>
    <xf numFmtId="3" fontId="0" fillId="0" borderId="22" xfId="0" applyNumberFormat="1" applyBorder="1" applyAlignment="1">
      <alignment vertical="top" wrapText="1"/>
    </xf>
    <xf numFmtId="49" fontId="0" fillId="0" borderId="20" xfId="0" applyNumberFormat="1" applyBorder="1" applyAlignment="1">
      <alignment horizontal="right" vertical="top" wrapText="1"/>
    </xf>
    <xf numFmtId="3" fontId="0" fillId="0" borderId="25" xfId="0" applyNumberFormat="1" applyBorder="1" applyAlignment="1">
      <alignment vertical="top" wrapText="1"/>
    </xf>
    <xf numFmtId="49" fontId="0" fillId="0" borderId="25" xfId="0" applyNumberFormat="1" applyBorder="1" applyAlignment="1">
      <alignment horizontal="right" vertical="top" wrapText="1"/>
    </xf>
    <xf numFmtId="0" fontId="0" fillId="0" borderId="25" xfId="0" applyBorder="1" applyAlignment="1">
      <alignment horizontal="right" vertical="top" wrapText="1"/>
    </xf>
    <xf numFmtId="0" fontId="0" fillId="0" borderId="20" xfId="0" applyBorder="1" applyAlignment="1">
      <alignment horizontal="right" vertical="top" wrapText="1"/>
    </xf>
    <xf numFmtId="0" fontId="0" fillId="0" borderId="22" xfId="0" applyBorder="1" applyAlignment="1">
      <alignment horizontal="right" vertical="top" wrapText="1"/>
    </xf>
    <xf numFmtId="0" fontId="5" fillId="5" borderId="13" xfId="0" applyFont="1" applyFill="1" applyBorder="1" applyAlignment="1">
      <alignment horizontal="center" wrapText="1"/>
    </xf>
    <xf numFmtId="165" fontId="9" fillId="0" borderId="13" xfId="0" applyNumberFormat="1" applyFont="1" applyBorder="1" applyAlignment="1">
      <alignment horizontal="center"/>
    </xf>
    <xf numFmtId="165" fontId="9" fillId="5" borderId="13" xfId="0" applyNumberFormat="1" applyFont="1" applyFill="1" applyBorder="1" applyAlignment="1">
      <alignment horizontal="center"/>
    </xf>
    <xf numFmtId="165" fontId="0" fillId="0" borderId="1" xfId="0" applyNumberFormat="1" applyBorder="1" applyAlignment="1">
      <alignment horizontal="center"/>
    </xf>
    <xf numFmtId="165" fontId="1" fillId="0" borderId="1" xfId="0" applyNumberFormat="1" applyFont="1" applyBorder="1" applyAlignment="1">
      <alignment horizontal="center"/>
    </xf>
    <xf numFmtId="164" fontId="13" fillId="0" borderId="13" xfId="0" applyNumberFormat="1" applyFont="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0" borderId="8" xfId="0" applyFont="1" applyBorder="1" applyAlignment="1">
      <alignment horizontal="center"/>
    </xf>
    <xf numFmtId="0" fontId="1" fillId="0" borderId="0" xfId="0" applyFont="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164" fontId="1" fillId="0" borderId="0" xfId="0" applyNumberFormat="1" applyFont="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 xfId="0" applyBorder="1" applyAlignment="1">
      <alignment horizontal="center" wrapText="1"/>
    </xf>
    <xf numFmtId="0" fontId="0" fillId="0" borderId="8" xfId="0" applyBorder="1" applyAlignment="1">
      <alignment horizontal="center" wrapText="1"/>
    </xf>
    <xf numFmtId="0" fontId="1" fillId="0" borderId="1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3" fillId="0" borderId="0" xfId="0" applyFont="1" applyAlignment="1">
      <alignment horizontal="center"/>
    </xf>
    <xf numFmtId="0" fontId="5" fillId="0" borderId="13" xfId="0" applyFont="1" applyBorder="1" applyAlignment="1">
      <alignment horizontal="center"/>
    </xf>
    <xf numFmtId="0" fontId="5" fillId="0" borderId="13" xfId="0" applyFont="1" applyBorder="1" applyAlignment="1">
      <alignment horizontal="center" vertical="center"/>
    </xf>
    <xf numFmtId="8" fontId="5" fillId="0" borderId="13" xfId="0" applyNumberFormat="1" applyFont="1" applyBorder="1" applyAlignment="1">
      <alignment horizontal="center"/>
    </xf>
    <xf numFmtId="8" fontId="5" fillId="0" borderId="13" xfId="0" applyNumberFormat="1" applyFont="1" applyBorder="1" applyAlignment="1">
      <alignment horizontal="center" wrapText="1"/>
    </xf>
    <xf numFmtId="164" fontId="4" fillId="0" borderId="13" xfId="0" applyNumberFormat="1" applyFont="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165" fontId="4" fillId="0" borderId="13" xfId="0" applyNumberFormat="1" applyFont="1" applyBorder="1" applyAlignment="1">
      <alignment horizontal="center"/>
    </xf>
    <xf numFmtId="0" fontId="12" fillId="0" borderId="0" xfId="0" applyFont="1" applyAlignment="1">
      <alignment horizontal="center" vertical="center"/>
    </xf>
    <xf numFmtId="0" fontId="9" fillId="6" borderId="2" xfId="0" applyFont="1" applyFill="1" applyBorder="1" applyAlignment="1">
      <alignment horizontal="center" vertical="top" wrapText="1"/>
    </xf>
    <xf numFmtId="0" fontId="9" fillId="6" borderId="7" xfId="0" applyFont="1" applyFill="1" applyBorder="1" applyAlignment="1">
      <alignment horizontal="center" vertical="top" wrapText="1"/>
    </xf>
    <xf numFmtId="44" fontId="9" fillId="6" borderId="3" xfId="0" applyNumberFormat="1" applyFont="1" applyFill="1" applyBorder="1" applyAlignment="1">
      <alignment horizontal="center" vertical="top" wrapText="1"/>
    </xf>
    <xf numFmtId="0" fontId="9" fillId="6" borderId="1" xfId="0" applyFont="1" applyFill="1" applyBorder="1" applyAlignment="1">
      <alignment horizontal="center" vertical="top"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3A3D-760E-4177-A25F-D5D1F22BCD11}">
  <dimension ref="A1:H61"/>
  <sheetViews>
    <sheetView zoomScaleNormal="100" workbookViewId="0">
      <selection activeCell="D40" sqref="D40"/>
    </sheetView>
  </sheetViews>
  <sheetFormatPr defaultColWidth="8.77734375" defaultRowHeight="14.4"/>
  <cols>
    <col min="1" max="1" width="25.77734375" bestFit="1" customWidth="1"/>
    <col min="2" max="2" width="29.5546875" style="2" bestFit="1" customWidth="1"/>
    <col min="3" max="3" width="14.77734375" style="2" customWidth="1"/>
    <col min="4" max="4" width="16.44140625" style="2" customWidth="1"/>
    <col min="6" max="6" width="11.21875" bestFit="1" customWidth="1"/>
  </cols>
  <sheetData>
    <row r="1" spans="1:5" ht="48" customHeight="1">
      <c r="A1" s="100" t="s">
        <v>40</v>
      </c>
      <c r="B1" s="100"/>
      <c r="C1" s="100"/>
      <c r="D1" s="100"/>
    </row>
    <row r="2" spans="1:5">
      <c r="B2" s="104" t="s">
        <v>34</v>
      </c>
      <c r="C2" s="104" t="s">
        <v>35</v>
      </c>
      <c r="D2" s="104" t="s">
        <v>36</v>
      </c>
    </row>
    <row r="3" spans="1:5">
      <c r="B3" s="104"/>
      <c r="C3" s="104"/>
      <c r="D3" s="104"/>
    </row>
    <row r="4" spans="1:5">
      <c r="A4" s="5" t="s">
        <v>0</v>
      </c>
    </row>
    <row r="5" spans="1:5">
      <c r="A5" t="s">
        <v>1</v>
      </c>
      <c r="B5" s="2">
        <v>240000</v>
      </c>
      <c r="C5" s="2">
        <v>0</v>
      </c>
      <c r="D5" s="2">
        <f>240000-D40</f>
        <v>225300</v>
      </c>
    </row>
    <row r="6" spans="1:5">
      <c r="A6" t="s">
        <v>2</v>
      </c>
      <c r="B6" s="2">
        <v>0</v>
      </c>
      <c r="C6" s="2">
        <v>0</v>
      </c>
      <c r="D6" s="2">
        <v>0</v>
      </c>
    </row>
    <row r="7" spans="1:5">
      <c r="A7" t="s">
        <v>3</v>
      </c>
      <c r="B7" s="2">
        <v>0</v>
      </c>
      <c r="C7" s="2">
        <v>0</v>
      </c>
      <c r="D7" s="2">
        <v>0</v>
      </c>
    </row>
    <row r="8" spans="1:5">
      <c r="A8" t="s">
        <v>4</v>
      </c>
      <c r="B8" s="2">
        <v>0</v>
      </c>
      <c r="C8" s="2">
        <v>0</v>
      </c>
      <c r="D8" s="2">
        <v>0</v>
      </c>
      <c r="E8" s="1"/>
    </row>
    <row r="9" spans="1:5" ht="15" thickBot="1">
      <c r="A9" t="s">
        <v>37</v>
      </c>
      <c r="B9" s="3">
        <v>0</v>
      </c>
      <c r="C9" s="3">
        <v>0</v>
      </c>
      <c r="D9" s="3">
        <v>14700</v>
      </c>
    </row>
    <row r="10" spans="1:5">
      <c r="A10" s="5" t="s">
        <v>5</v>
      </c>
      <c r="B10" s="4">
        <f>SUM(B5:B9)</f>
        <v>240000</v>
      </c>
      <c r="C10" s="4">
        <f t="shared" ref="C10:D10" si="0">SUM(C5:C9)</f>
        <v>0</v>
      </c>
      <c r="D10" s="4">
        <f t="shared" si="0"/>
        <v>240000</v>
      </c>
    </row>
    <row r="12" spans="1:5">
      <c r="A12" s="5" t="s">
        <v>6</v>
      </c>
    </row>
    <row r="13" spans="1:5">
      <c r="A13" t="s">
        <v>7</v>
      </c>
      <c r="B13" s="2">
        <v>9000</v>
      </c>
      <c r="C13" s="2">
        <v>0</v>
      </c>
      <c r="D13" s="2">
        <v>12000</v>
      </c>
    </row>
    <row r="14" spans="1:5">
      <c r="A14" t="s">
        <v>8</v>
      </c>
      <c r="B14" s="2">
        <v>15000</v>
      </c>
      <c r="C14" s="2">
        <v>0</v>
      </c>
      <c r="D14" s="2">
        <v>10000</v>
      </c>
    </row>
    <row r="15" spans="1:5">
      <c r="A15" t="s">
        <v>9</v>
      </c>
      <c r="B15" s="2">
        <v>1000</v>
      </c>
      <c r="C15" s="2">
        <v>0</v>
      </c>
      <c r="D15" s="2">
        <v>500</v>
      </c>
    </row>
    <row r="16" spans="1:5">
      <c r="A16" t="s">
        <v>10</v>
      </c>
      <c r="B16" s="2">
        <v>1500</v>
      </c>
      <c r="C16" s="2">
        <v>0</v>
      </c>
      <c r="D16" s="2">
        <v>1500</v>
      </c>
    </row>
    <row r="17" spans="1:4">
      <c r="A17" t="s">
        <v>11</v>
      </c>
      <c r="B17" s="2">
        <v>100</v>
      </c>
      <c r="C17" s="2">
        <v>0</v>
      </c>
      <c r="D17" s="2">
        <v>100</v>
      </c>
    </row>
    <row r="18" spans="1:4">
      <c r="A18" t="s">
        <v>32</v>
      </c>
      <c r="B18" s="2">
        <v>25000</v>
      </c>
      <c r="C18" s="2">
        <v>0</v>
      </c>
      <c r="D18" s="2">
        <v>40000</v>
      </c>
    </row>
    <row r="19" spans="1:4">
      <c r="A19" t="s">
        <v>12</v>
      </c>
      <c r="B19" s="2">
        <v>1500</v>
      </c>
      <c r="C19" s="2">
        <v>0</v>
      </c>
      <c r="D19" s="2">
        <v>1000</v>
      </c>
    </row>
    <row r="20" spans="1:4">
      <c r="A20" t="s">
        <v>13</v>
      </c>
      <c r="B20" s="2">
        <v>76000</v>
      </c>
      <c r="C20" s="2">
        <v>0</v>
      </c>
      <c r="D20" s="2">
        <v>87400</v>
      </c>
    </row>
    <row r="21" spans="1:4">
      <c r="A21" t="s">
        <v>14</v>
      </c>
      <c r="B21" s="2">
        <v>6000</v>
      </c>
      <c r="C21" s="2">
        <v>0</v>
      </c>
      <c r="D21" s="2">
        <v>5000</v>
      </c>
    </row>
    <row r="22" spans="1:4">
      <c r="A22" t="s">
        <v>15</v>
      </c>
      <c r="B22" s="2">
        <v>900</v>
      </c>
      <c r="C22" s="2">
        <v>0</v>
      </c>
      <c r="D22" s="2">
        <v>1300</v>
      </c>
    </row>
    <row r="23" spans="1:4">
      <c r="A23" t="s">
        <v>16</v>
      </c>
      <c r="B23" s="2">
        <v>1200</v>
      </c>
      <c r="C23" s="2">
        <v>0</v>
      </c>
      <c r="D23" s="2">
        <v>1000</v>
      </c>
    </row>
    <row r="24" spans="1:4">
      <c r="A24" t="s">
        <v>17</v>
      </c>
      <c r="B24" s="2">
        <v>26000</v>
      </c>
      <c r="C24" s="2">
        <v>0</v>
      </c>
      <c r="D24" s="2">
        <v>21000</v>
      </c>
    </row>
    <row r="25" spans="1:4">
      <c r="A25" t="s">
        <v>18</v>
      </c>
      <c r="B25" s="2">
        <v>0</v>
      </c>
      <c r="C25" s="2">
        <v>0</v>
      </c>
      <c r="D25" s="2">
        <v>4000</v>
      </c>
    </row>
    <row r="26" spans="1:4">
      <c r="A26" t="s">
        <v>19</v>
      </c>
      <c r="B26" s="2">
        <v>3000</v>
      </c>
      <c r="C26" s="2">
        <v>0</v>
      </c>
      <c r="D26" s="2">
        <v>5000</v>
      </c>
    </row>
    <row r="27" spans="1:4" ht="15" thickBot="1">
      <c r="A27" t="s">
        <v>20</v>
      </c>
      <c r="B27" s="3">
        <v>10000</v>
      </c>
      <c r="C27" s="2">
        <v>0</v>
      </c>
      <c r="D27" s="3">
        <v>10000</v>
      </c>
    </row>
    <row r="28" spans="1:4">
      <c r="A28" s="5" t="s">
        <v>21</v>
      </c>
      <c r="B28" s="4">
        <f>SUM(B13:B27)</f>
        <v>176200</v>
      </c>
      <c r="C28" s="4">
        <f t="shared" ref="C28:D28" si="1">SUM(C13:C27)</f>
        <v>0</v>
      </c>
      <c r="D28" s="4">
        <f t="shared" si="1"/>
        <v>199800</v>
      </c>
    </row>
    <row r="30" spans="1:4">
      <c r="A30" s="5" t="s">
        <v>22</v>
      </c>
    </row>
    <row r="31" spans="1:4">
      <c r="A31" t="s">
        <v>23</v>
      </c>
      <c r="B31" s="2">
        <v>2000</v>
      </c>
      <c r="C31" s="2">
        <v>0</v>
      </c>
      <c r="D31" s="2">
        <v>1000</v>
      </c>
    </row>
    <row r="32" spans="1:4">
      <c r="A32" t="s">
        <v>24</v>
      </c>
      <c r="B32" s="2">
        <v>0</v>
      </c>
      <c r="C32" s="2">
        <v>0</v>
      </c>
      <c r="D32" s="2">
        <v>3500</v>
      </c>
    </row>
    <row r="33" spans="1:8">
      <c r="A33" t="s">
        <v>25</v>
      </c>
      <c r="B33" s="2">
        <v>8000</v>
      </c>
      <c r="C33" s="2">
        <v>0</v>
      </c>
      <c r="D33" s="2">
        <v>5000</v>
      </c>
    </row>
    <row r="34" spans="1:8">
      <c r="A34" t="s">
        <v>26</v>
      </c>
      <c r="B34" s="2">
        <v>0</v>
      </c>
      <c r="C34" s="2">
        <v>0</v>
      </c>
      <c r="D34" s="2">
        <v>0</v>
      </c>
    </row>
    <row r="35" spans="1:8">
      <c r="A35" t="s">
        <v>27</v>
      </c>
      <c r="B35" s="2">
        <v>7000</v>
      </c>
      <c r="C35" s="2">
        <v>0</v>
      </c>
      <c r="D35" s="2">
        <v>6000</v>
      </c>
    </row>
    <row r="36" spans="1:8">
      <c r="A36" t="s">
        <v>28</v>
      </c>
      <c r="B36" s="2">
        <v>5300</v>
      </c>
      <c r="C36" s="2">
        <v>0</v>
      </c>
      <c r="D36" s="2">
        <v>5000</v>
      </c>
    </row>
    <row r="37" spans="1:8" ht="15" thickBot="1">
      <c r="A37" t="s">
        <v>29</v>
      </c>
      <c r="B37" s="3">
        <v>5000</v>
      </c>
      <c r="C37" s="3">
        <v>0</v>
      </c>
      <c r="D37" s="3">
        <v>5000</v>
      </c>
    </row>
    <row r="38" spans="1:8">
      <c r="A38" s="5" t="s">
        <v>30</v>
      </c>
      <c r="B38" s="4">
        <f>SUM(B31:B37)</f>
        <v>27300</v>
      </c>
      <c r="C38" s="4">
        <f t="shared" ref="C38:D38" si="2">SUM(C31:C37)</f>
        <v>0</v>
      </c>
      <c r="D38" s="4">
        <f t="shared" si="2"/>
        <v>25500</v>
      </c>
    </row>
    <row r="40" spans="1:8">
      <c r="A40" s="5" t="s">
        <v>31</v>
      </c>
      <c r="B40" s="4">
        <v>36500</v>
      </c>
      <c r="C40" s="4">
        <v>0</v>
      </c>
      <c r="D40" s="4">
        <v>14700</v>
      </c>
      <c r="F40" s="1"/>
    </row>
    <row r="41" spans="1:8" ht="15" thickBot="1">
      <c r="B41" s="3"/>
      <c r="C41" s="3"/>
      <c r="D41" s="3"/>
      <c r="H41">
        <f>14700/4</f>
        <v>3675</v>
      </c>
    </row>
    <row r="42" spans="1:8">
      <c r="A42" s="5" t="s">
        <v>33</v>
      </c>
      <c r="B42" s="4">
        <f>SUM(B28+B38+B40)</f>
        <v>240000</v>
      </c>
      <c r="C42" s="4">
        <f t="shared" ref="C42:D42" si="3">SUM(C28+C38+C40)</f>
        <v>0</v>
      </c>
      <c r="D42" s="4">
        <f t="shared" si="3"/>
        <v>240000</v>
      </c>
    </row>
    <row r="43" spans="1:8" ht="15" thickBot="1"/>
    <row r="44" spans="1:8">
      <c r="A44" s="105" t="s">
        <v>38</v>
      </c>
      <c r="B44" s="106"/>
      <c r="C44" s="106"/>
      <c r="D44" s="107"/>
    </row>
    <row r="45" spans="1:8">
      <c r="A45" s="108"/>
      <c r="B45" s="100"/>
      <c r="C45" s="100"/>
      <c r="D45" s="109"/>
    </row>
    <row r="46" spans="1:8" ht="15" thickBot="1">
      <c r="A46" s="110"/>
      <c r="B46" s="111"/>
      <c r="C46" s="111"/>
      <c r="D46" s="112"/>
    </row>
    <row r="47" spans="1:8" ht="15" thickBot="1"/>
    <row r="48" spans="1:8">
      <c r="A48" s="105" t="s">
        <v>39</v>
      </c>
      <c r="B48" s="106"/>
      <c r="C48" s="106"/>
      <c r="D48" s="107"/>
    </row>
    <row r="49" spans="1:4">
      <c r="A49" s="108"/>
      <c r="B49" s="100"/>
      <c r="C49" s="100"/>
      <c r="D49" s="109"/>
    </row>
    <row r="50" spans="1:4">
      <c r="A50" s="108"/>
      <c r="B50" s="100"/>
      <c r="C50" s="100"/>
      <c r="D50" s="109"/>
    </row>
    <row r="51" spans="1:4">
      <c r="A51" s="108"/>
      <c r="B51" s="100"/>
      <c r="C51" s="100"/>
      <c r="D51" s="109"/>
    </row>
    <row r="52" spans="1:4" ht="36" customHeight="1" thickBot="1">
      <c r="A52" s="110"/>
      <c r="B52" s="111"/>
      <c r="C52" s="111"/>
      <c r="D52" s="112"/>
    </row>
    <row r="53" spans="1:4" ht="15" thickBot="1"/>
    <row r="54" spans="1:4" ht="15.6">
      <c r="A54" s="101" t="s">
        <v>41</v>
      </c>
      <c r="B54" s="102"/>
      <c r="C54" s="102"/>
      <c r="D54" s="103"/>
    </row>
    <row r="55" spans="1:4" ht="15.6">
      <c r="A55" s="94" t="s">
        <v>42</v>
      </c>
      <c r="B55" s="95"/>
      <c r="C55" s="95"/>
      <c r="D55" s="96"/>
    </row>
    <row r="56" spans="1:4" ht="15.6">
      <c r="A56" s="94" t="s">
        <v>43</v>
      </c>
      <c r="B56" s="95"/>
      <c r="C56" s="95"/>
      <c r="D56" s="96"/>
    </row>
    <row r="57" spans="1:4" ht="15.6">
      <c r="A57" s="94" t="s">
        <v>44</v>
      </c>
      <c r="B57" s="95"/>
      <c r="C57" s="95"/>
      <c r="D57" s="96"/>
    </row>
    <row r="58" spans="1:4" ht="15.6">
      <c r="A58" s="94" t="s">
        <v>45</v>
      </c>
      <c r="B58" s="95"/>
      <c r="C58" s="95"/>
      <c r="D58" s="96"/>
    </row>
    <row r="59" spans="1:4" ht="15.6">
      <c r="A59" s="94" t="s">
        <v>46</v>
      </c>
      <c r="B59" s="95"/>
      <c r="C59" s="95"/>
      <c r="D59" s="96"/>
    </row>
    <row r="60" spans="1:4" ht="15.6">
      <c r="A60" s="94" t="s">
        <v>47</v>
      </c>
      <c r="B60" s="95"/>
      <c r="C60" s="95"/>
      <c r="D60" s="96"/>
    </row>
    <row r="61" spans="1:4" ht="16.2" thickBot="1">
      <c r="A61" s="97" t="s">
        <v>48</v>
      </c>
      <c r="B61" s="98"/>
      <c r="C61" s="98"/>
      <c r="D61" s="99"/>
    </row>
  </sheetData>
  <mergeCells count="14">
    <mergeCell ref="A58:D58"/>
    <mergeCell ref="A59:D59"/>
    <mergeCell ref="A60:D60"/>
    <mergeCell ref="A61:D61"/>
    <mergeCell ref="A1:D1"/>
    <mergeCell ref="A54:D54"/>
    <mergeCell ref="A55:D55"/>
    <mergeCell ref="A56:D56"/>
    <mergeCell ref="A57:D57"/>
    <mergeCell ref="B2:B3"/>
    <mergeCell ref="C2:C3"/>
    <mergeCell ref="D2:D3"/>
    <mergeCell ref="A44:D46"/>
    <mergeCell ref="A48:D52"/>
  </mergeCells>
  <pageMargins left="0.25" right="0.25" top="0.75" bottom="0.75" header="0.3" footer="0.3"/>
  <pageSetup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03648-B98B-4C40-9272-456873B8CF98}">
  <sheetPr>
    <tabColor rgb="FFFFFF00"/>
  </sheetPr>
  <dimension ref="A1:N54"/>
  <sheetViews>
    <sheetView view="pageBreakPreview" topLeftCell="A11" zoomScale="120" zoomScaleNormal="136" zoomScaleSheetLayoutView="120" workbookViewId="0">
      <selection activeCell="D13" sqref="D13:D30"/>
    </sheetView>
  </sheetViews>
  <sheetFormatPr defaultColWidth="8.77734375" defaultRowHeight="14.4"/>
  <cols>
    <col min="1" max="1" width="25.77734375" style="50" bestFit="1" customWidth="1"/>
    <col min="2" max="2" width="29.5546875" style="2" bestFit="1" customWidth="1"/>
    <col min="3" max="3" width="28.5546875" style="2" bestFit="1" customWidth="1"/>
    <col min="4" max="4" width="16.44140625" style="2" customWidth="1"/>
    <col min="5" max="5" width="9.21875" bestFit="1" customWidth="1"/>
    <col min="6" max="6" width="12.21875" bestFit="1" customWidth="1"/>
    <col min="9" max="9" width="9.5546875" bestFit="1" customWidth="1"/>
    <col min="11" max="11" width="10.21875" bestFit="1" customWidth="1"/>
  </cols>
  <sheetData>
    <row r="1" spans="1:13" ht="48" customHeight="1">
      <c r="A1" s="100" t="s">
        <v>192</v>
      </c>
      <c r="B1" s="100"/>
      <c r="C1" s="100"/>
      <c r="D1" s="100"/>
    </row>
    <row r="2" spans="1:13">
      <c r="B2" s="104" t="s">
        <v>189</v>
      </c>
      <c r="C2" s="104" t="s">
        <v>193</v>
      </c>
      <c r="D2" s="104" t="s">
        <v>203</v>
      </c>
    </row>
    <row r="3" spans="1:13" ht="17.25" customHeight="1">
      <c r="B3" s="104"/>
      <c r="C3" s="104"/>
      <c r="D3" s="104"/>
    </row>
    <row r="4" spans="1:13" ht="18.75" customHeight="1">
      <c r="A4" s="51" t="s">
        <v>0</v>
      </c>
      <c r="F4" s="1"/>
    </row>
    <row r="5" spans="1:13" ht="18.75" customHeight="1">
      <c r="A5" s="50" t="s">
        <v>1</v>
      </c>
      <c r="B5" s="41">
        <v>232000</v>
      </c>
      <c r="C5" s="41">
        <v>268000</v>
      </c>
      <c r="D5" s="41">
        <f>D46-D6-D9</f>
        <v>251970</v>
      </c>
      <c r="E5" s="1"/>
      <c r="F5" s="1">
        <f>D5/50/4</f>
        <v>1259.8499999999999</v>
      </c>
    </row>
    <row r="6" spans="1:13" ht="18.75" customHeight="1">
      <c r="A6" s="50" t="s">
        <v>2</v>
      </c>
      <c r="B6" s="41">
        <v>500</v>
      </c>
      <c r="C6" s="41">
        <v>775</v>
      </c>
      <c r="D6" s="41">
        <v>500</v>
      </c>
    </row>
    <row r="7" spans="1:13" ht="18.75" customHeight="1">
      <c r="A7" s="50" t="s">
        <v>64</v>
      </c>
      <c r="B7" s="41">
        <v>36644</v>
      </c>
      <c r="C7" s="41">
        <v>14700</v>
      </c>
      <c r="D7" s="41">
        <v>0</v>
      </c>
      <c r="E7" s="49" t="s">
        <v>134</v>
      </c>
      <c r="M7">
        <f>356.16*18*3</f>
        <v>19232.64</v>
      </c>
    </row>
    <row r="8" spans="1:13" ht="18.75" customHeight="1">
      <c r="A8" s="50" t="s">
        <v>136</v>
      </c>
      <c r="B8" s="41">
        <v>76896</v>
      </c>
      <c r="C8" s="41">
        <v>72000</v>
      </c>
      <c r="D8" s="41">
        <f>356*12*18</f>
        <v>76896</v>
      </c>
      <c r="E8" s="49"/>
    </row>
    <row r="9" spans="1:13" ht="18.75" customHeight="1" thickBot="1">
      <c r="A9" s="50" t="s">
        <v>4</v>
      </c>
      <c r="B9" s="91">
        <v>20</v>
      </c>
      <c r="C9" s="91">
        <v>42</v>
      </c>
      <c r="D9" s="91">
        <v>50</v>
      </c>
      <c r="E9" s="1" t="s">
        <v>135</v>
      </c>
      <c r="H9">
        <f>50*127*4</f>
        <v>25400</v>
      </c>
      <c r="I9" s="55">
        <f>H9-C7</f>
        <v>10700</v>
      </c>
    </row>
    <row r="10" spans="1:13" ht="18.75" customHeight="1">
      <c r="A10" s="51" t="s">
        <v>5</v>
      </c>
      <c r="B10" s="40">
        <f>SUM(B5:B9)</f>
        <v>346060</v>
      </c>
      <c r="C10" s="40">
        <f>SUM(C5:C9)</f>
        <v>355517</v>
      </c>
      <c r="D10" s="40">
        <f>SUM(D5:D9)</f>
        <v>329416</v>
      </c>
    </row>
    <row r="11" spans="1:13" ht="18.75" customHeight="1">
      <c r="A11" s="50" t="s">
        <v>201</v>
      </c>
      <c r="B11" s="41">
        <f>SUM(B10-B8)</f>
        <v>269164</v>
      </c>
      <c r="C11" s="41">
        <f>SUM(C10-C8)</f>
        <v>283517</v>
      </c>
      <c r="D11" s="41">
        <f>SUM(D10-D8)</f>
        <v>252520</v>
      </c>
    </row>
    <row r="12" spans="1:13" ht="18.75" customHeight="1">
      <c r="A12" s="51" t="s">
        <v>6</v>
      </c>
      <c r="B12" s="41"/>
      <c r="C12" s="41"/>
      <c r="D12" s="41"/>
    </row>
    <row r="13" spans="1:13" ht="18.75" customHeight="1">
      <c r="A13" s="50" t="s">
        <v>7</v>
      </c>
      <c r="B13" s="41">
        <v>7200</v>
      </c>
      <c r="C13" s="40">
        <f>3600*2</f>
        <v>7200</v>
      </c>
      <c r="D13" s="41">
        <v>7200</v>
      </c>
    </row>
    <row r="14" spans="1:13" ht="18.75" customHeight="1">
      <c r="A14" s="50" t="s">
        <v>8</v>
      </c>
      <c r="B14" s="41">
        <v>200</v>
      </c>
      <c r="C14" s="40">
        <v>225</v>
      </c>
      <c r="D14" s="41">
        <v>2000</v>
      </c>
    </row>
    <row r="15" spans="1:13" ht="18.75" customHeight="1">
      <c r="A15" s="50" t="s">
        <v>9</v>
      </c>
      <c r="B15" s="41">
        <v>500</v>
      </c>
      <c r="C15" s="40">
        <v>750</v>
      </c>
      <c r="D15" s="41">
        <v>1000</v>
      </c>
    </row>
    <row r="16" spans="1:13" ht="18.75" customHeight="1">
      <c r="A16" s="50" t="s">
        <v>10</v>
      </c>
      <c r="B16" s="41">
        <v>380</v>
      </c>
      <c r="C16" s="40">
        <v>360</v>
      </c>
      <c r="D16" s="41">
        <v>400</v>
      </c>
    </row>
    <row r="17" spans="1:4" ht="18.75" customHeight="1">
      <c r="A17" s="50" t="s">
        <v>50</v>
      </c>
      <c r="B17" s="41">
        <v>200</v>
      </c>
      <c r="C17" s="40">
        <v>200</v>
      </c>
      <c r="D17" s="41">
        <v>250</v>
      </c>
    </row>
    <row r="18" spans="1:4" ht="18.75" customHeight="1">
      <c r="A18" s="50" t="s">
        <v>11</v>
      </c>
      <c r="B18" s="41">
        <v>50</v>
      </c>
      <c r="C18" s="40">
        <v>10</v>
      </c>
      <c r="D18" s="41">
        <v>20</v>
      </c>
    </row>
    <row r="19" spans="1:4" ht="18.75" customHeight="1">
      <c r="A19" s="50" t="s">
        <v>12</v>
      </c>
      <c r="B19" s="41">
        <v>1000</v>
      </c>
      <c r="C19" s="40">
        <v>1000</v>
      </c>
      <c r="D19" s="41">
        <v>1000</v>
      </c>
    </row>
    <row r="20" spans="1:4" ht="18.75" customHeight="1">
      <c r="A20" s="50" t="s">
        <v>13</v>
      </c>
      <c r="B20" s="41">
        <v>150290</v>
      </c>
      <c r="C20" s="40">
        <v>125000</v>
      </c>
      <c r="D20" s="41">
        <v>150000</v>
      </c>
    </row>
    <row r="21" spans="1:4" ht="18.75" customHeight="1">
      <c r="A21" s="50" t="s">
        <v>14</v>
      </c>
      <c r="B21" s="41">
        <v>6800</v>
      </c>
      <c r="C21" s="40">
        <v>6800</v>
      </c>
      <c r="D21" s="41">
        <v>9000</v>
      </c>
    </row>
    <row r="22" spans="1:4" ht="18.75" customHeight="1">
      <c r="A22" s="50" t="s">
        <v>121</v>
      </c>
      <c r="B22" s="41">
        <v>0</v>
      </c>
      <c r="C22" s="40">
        <v>30000</v>
      </c>
      <c r="D22" s="41">
        <v>0</v>
      </c>
    </row>
    <row r="23" spans="1:4" ht="18.75" customHeight="1">
      <c r="A23" s="50" t="s">
        <v>123</v>
      </c>
      <c r="B23" s="41">
        <v>250</v>
      </c>
      <c r="C23" s="40">
        <v>250</v>
      </c>
      <c r="D23" s="41">
        <v>250</v>
      </c>
    </row>
    <row r="24" spans="1:4" ht="18.75" customHeight="1">
      <c r="A24" s="50" t="s">
        <v>124</v>
      </c>
      <c r="B24" s="41">
        <v>600</v>
      </c>
      <c r="C24" s="40">
        <v>1000</v>
      </c>
      <c r="D24" s="41">
        <v>500</v>
      </c>
    </row>
    <row r="25" spans="1:4" ht="18.75" customHeight="1">
      <c r="A25" s="50" t="s">
        <v>122</v>
      </c>
      <c r="B25" s="41">
        <v>500</v>
      </c>
      <c r="C25" s="40">
        <v>500</v>
      </c>
      <c r="D25" s="41">
        <v>2000</v>
      </c>
    </row>
    <row r="26" spans="1:4" ht="18.75" customHeight="1">
      <c r="A26" s="50" t="s">
        <v>52</v>
      </c>
      <c r="B26" s="41">
        <v>500</v>
      </c>
      <c r="C26" s="40">
        <v>200</v>
      </c>
      <c r="D26" s="41">
        <v>500</v>
      </c>
    </row>
    <row r="27" spans="1:4" ht="18.75" customHeight="1">
      <c r="A27" s="50" t="s">
        <v>17</v>
      </c>
      <c r="B27" s="41">
        <v>24000</v>
      </c>
      <c r="C27" s="40">
        <v>22000</v>
      </c>
      <c r="D27" s="41">
        <v>25000</v>
      </c>
    </row>
    <row r="28" spans="1:4" ht="18.75" customHeight="1">
      <c r="A28" s="50" t="s">
        <v>18</v>
      </c>
      <c r="B28" s="41">
        <v>400</v>
      </c>
      <c r="C28" s="41">
        <v>2600</v>
      </c>
      <c r="D28" s="41">
        <v>2600</v>
      </c>
    </row>
    <row r="29" spans="1:4" ht="18.75" customHeight="1">
      <c r="A29" s="50" t="s">
        <v>19</v>
      </c>
      <c r="B29" s="41">
        <v>2500</v>
      </c>
      <c r="C29" s="40">
        <v>3000</v>
      </c>
      <c r="D29" s="41">
        <v>3000</v>
      </c>
    </row>
    <row r="30" spans="1:4" ht="18.75" customHeight="1" thickBot="1">
      <c r="A30" s="50" t="s">
        <v>20</v>
      </c>
      <c r="B30" s="91">
        <v>10000</v>
      </c>
      <c r="C30" s="92">
        <v>10000</v>
      </c>
      <c r="D30" s="91">
        <v>14000</v>
      </c>
    </row>
    <row r="31" spans="1:4" ht="28.5" customHeight="1">
      <c r="A31" s="51" t="s">
        <v>21</v>
      </c>
      <c r="B31" s="40">
        <f>SUM(B13:B30)</f>
        <v>205370</v>
      </c>
      <c r="C31" s="40">
        <f>SUM(C13:C30)</f>
        <v>211095</v>
      </c>
      <c r="D31" s="40">
        <f>SUM(D13:D30)</f>
        <v>218720</v>
      </c>
    </row>
    <row r="32" spans="1:4" ht="18.75" customHeight="1">
      <c r="B32" s="41"/>
      <c r="C32" s="41"/>
      <c r="D32" s="41"/>
    </row>
    <row r="33" spans="1:14" ht="27" customHeight="1">
      <c r="A33" s="51" t="s">
        <v>22</v>
      </c>
      <c r="B33" s="41"/>
      <c r="C33" s="41"/>
      <c r="D33" s="41"/>
    </row>
    <row r="34" spans="1:14" ht="26.25" customHeight="1">
      <c r="A34" s="50" t="s">
        <v>23</v>
      </c>
      <c r="B34" s="41">
        <v>1500</v>
      </c>
      <c r="C34" s="41">
        <v>0</v>
      </c>
      <c r="D34" s="41">
        <v>500</v>
      </c>
    </row>
    <row r="35" spans="1:14" ht="18.75" customHeight="1">
      <c r="A35" s="50" t="s">
        <v>24</v>
      </c>
      <c r="B35" s="41">
        <v>4000</v>
      </c>
      <c r="C35" s="40">
        <v>9400</v>
      </c>
      <c r="D35" s="41">
        <v>9500</v>
      </c>
    </row>
    <row r="36" spans="1:14" ht="18.75" customHeight="1">
      <c r="A36" s="50" t="s">
        <v>198</v>
      </c>
      <c r="B36" s="41">
        <v>5400</v>
      </c>
      <c r="C36" s="40">
        <v>5400</v>
      </c>
      <c r="D36" s="41">
        <v>5400</v>
      </c>
      <c r="F36">
        <f>450*12</f>
        <v>5400</v>
      </c>
    </row>
    <row r="37" spans="1:14" ht="18.75" customHeight="1">
      <c r="A37" s="50" t="s">
        <v>199</v>
      </c>
      <c r="B37" s="41">
        <v>1200</v>
      </c>
      <c r="C37" s="40">
        <v>17500</v>
      </c>
      <c r="D37" s="41">
        <v>7700</v>
      </c>
    </row>
    <row r="38" spans="1:14" ht="18.75" customHeight="1">
      <c r="A38" s="50" t="s">
        <v>51</v>
      </c>
      <c r="B38" s="41">
        <v>750</v>
      </c>
      <c r="C38" s="40">
        <v>0</v>
      </c>
      <c r="D38" s="41">
        <v>0</v>
      </c>
    </row>
    <row r="39" spans="1:14" ht="18.75" customHeight="1">
      <c r="A39" s="50" t="s">
        <v>27</v>
      </c>
      <c r="B39" s="41">
        <v>2500</v>
      </c>
      <c r="C39" s="40">
        <v>0</v>
      </c>
      <c r="D39" s="41">
        <v>2500</v>
      </c>
    </row>
    <row r="40" spans="1:14" ht="18.75" customHeight="1">
      <c r="A40" s="50" t="s">
        <v>28</v>
      </c>
      <c r="B40" s="41">
        <v>6000</v>
      </c>
      <c r="C40" s="40">
        <v>6800</v>
      </c>
      <c r="D40" s="41">
        <f>600*12</f>
        <v>7200</v>
      </c>
      <c r="F40">
        <v>6000</v>
      </c>
      <c r="N40">
        <f>282509/50/4</f>
        <v>1412.5450000000001</v>
      </c>
    </row>
    <row r="41" spans="1:14" ht="18.75" customHeight="1" thickBot="1">
      <c r="A41" s="50" t="s">
        <v>29</v>
      </c>
      <c r="B41" s="91">
        <v>3000</v>
      </c>
      <c r="C41" s="92">
        <v>4900</v>
      </c>
      <c r="D41" s="91">
        <v>1000</v>
      </c>
      <c r="I41">
        <f>1159.33*50*4</f>
        <v>231866</v>
      </c>
    </row>
    <row r="42" spans="1:14" ht="30.75" customHeight="1">
      <c r="A42" s="51" t="s">
        <v>30</v>
      </c>
      <c r="B42" s="40">
        <f>SUM(B34:B41)</f>
        <v>24350</v>
      </c>
      <c r="C42" s="40">
        <f>SUM(C34:C41)</f>
        <v>44000</v>
      </c>
      <c r="D42" s="40">
        <f>SUM(D34:D41)</f>
        <v>33800</v>
      </c>
    </row>
    <row r="43" spans="1:14" ht="26.55" customHeight="1">
      <c r="A43" s="51" t="s">
        <v>202</v>
      </c>
      <c r="B43" s="40">
        <v>49928.76</v>
      </c>
      <c r="C43" s="40">
        <v>78000</v>
      </c>
      <c r="D43" s="40">
        <f>4160.73*12</f>
        <v>49928.759999999995</v>
      </c>
    </row>
    <row r="44" spans="1:14" ht="26.25" customHeight="1" thickBot="1">
      <c r="A44" s="51" t="s">
        <v>31</v>
      </c>
      <c r="B44" s="40">
        <v>35626</v>
      </c>
      <c r="C44" s="40">
        <v>14700</v>
      </c>
      <c r="D44" s="42">
        <v>39364.380942118223</v>
      </c>
      <c r="E44" t="s">
        <v>104</v>
      </c>
      <c r="F44" s="1"/>
    </row>
    <row r="45" spans="1:14" ht="18.75" customHeight="1" thickBot="1">
      <c r="B45" s="91"/>
      <c r="C45" s="91"/>
      <c r="D45" s="91"/>
      <c r="F45" s="1"/>
      <c r="G45" s="1"/>
    </row>
    <row r="46" spans="1:14" ht="18.75" customHeight="1">
      <c r="A46" s="51" t="s">
        <v>33</v>
      </c>
      <c r="B46" s="40">
        <f>SUM(B31+B42+B44)</f>
        <v>265346</v>
      </c>
      <c r="C46" s="40">
        <f>SUM(C31+C42+C44)</f>
        <v>269795</v>
      </c>
      <c r="D46" s="40">
        <f>D42+D31</f>
        <v>252520</v>
      </c>
      <c r="F46" s="1"/>
    </row>
    <row r="47" spans="1:14" ht="18.75" customHeight="1">
      <c r="F47" s="1">
        <f>SUM(D46/50/4)</f>
        <v>1262.5999999999999</v>
      </c>
      <c r="I47" s="1">
        <f>D46/50/4</f>
        <v>1262.5999999999999</v>
      </c>
    </row>
    <row r="48" spans="1:14" ht="15" thickBot="1"/>
    <row r="49" spans="1:6">
      <c r="A49" s="135" t="s">
        <v>209</v>
      </c>
      <c r="B49" s="136"/>
      <c r="C49" s="136"/>
      <c r="D49" s="137"/>
    </row>
    <row r="50" spans="1:6">
      <c r="A50" s="138"/>
      <c r="B50" s="139"/>
      <c r="C50" s="139"/>
      <c r="D50" s="140"/>
      <c r="F50" s="1">
        <f>F47+183</f>
        <v>1445.6</v>
      </c>
    </row>
    <row r="51" spans="1:6">
      <c r="A51" s="138"/>
      <c r="B51" s="139"/>
      <c r="C51" s="139"/>
      <c r="D51" s="140"/>
    </row>
    <row r="52" spans="1:6" ht="15" thickBot="1">
      <c r="A52" s="141"/>
      <c r="B52" s="142"/>
      <c r="C52" s="142"/>
      <c r="D52" s="143"/>
    </row>
    <row r="54" spans="1:6" ht="18.75" customHeight="1"/>
  </sheetData>
  <mergeCells count="5">
    <mergeCell ref="A1:D1"/>
    <mergeCell ref="B2:B3"/>
    <mergeCell ref="C2:C3"/>
    <mergeCell ref="D2:D3"/>
    <mergeCell ref="A49:D52"/>
  </mergeCells>
  <pageMargins left="0.25" right="0.25" top="0.75" bottom="0.75" header="0.3" footer="0.3"/>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3D2A-5BDD-4B18-B049-55D9A5B80236}">
  <sheetPr>
    <tabColor rgb="FFFFFF00"/>
  </sheetPr>
  <dimension ref="A1:L21"/>
  <sheetViews>
    <sheetView view="pageBreakPreview" zoomScale="69" zoomScaleNormal="84" zoomScaleSheetLayoutView="69" workbookViewId="0">
      <selection activeCell="D6" sqref="D6"/>
    </sheetView>
  </sheetViews>
  <sheetFormatPr defaultColWidth="9" defaultRowHeight="23.4"/>
  <cols>
    <col min="1" max="1" width="21.77734375" style="6" bestFit="1" customWidth="1"/>
    <col min="2" max="2" width="19.21875" style="6" bestFit="1" customWidth="1"/>
    <col min="3" max="3" width="24.44140625" style="6" bestFit="1" customWidth="1"/>
    <col min="4" max="4" width="27" style="6" bestFit="1" customWidth="1"/>
    <col min="5" max="5" width="21.5546875" style="6" bestFit="1" customWidth="1"/>
    <col min="6" max="6" width="19.44140625" style="6" bestFit="1" customWidth="1"/>
    <col min="7" max="7" width="25.5546875" style="6" bestFit="1" customWidth="1"/>
    <col min="8" max="8" width="30.5546875" style="6" bestFit="1" customWidth="1"/>
    <col min="9" max="9" width="34" style="6" bestFit="1" customWidth="1"/>
    <col min="10" max="10" width="38" style="6" customWidth="1"/>
    <col min="11" max="11" width="18.21875" style="6" bestFit="1" customWidth="1"/>
    <col min="12" max="12" width="22.44140625" style="6" customWidth="1"/>
    <col min="13" max="16384" width="9" style="6"/>
  </cols>
  <sheetData>
    <row r="1" spans="1:12" ht="37.5" customHeight="1">
      <c r="A1" s="129" t="s">
        <v>194</v>
      </c>
      <c r="B1" s="129"/>
      <c r="C1" s="129"/>
      <c r="D1" s="129"/>
      <c r="E1" s="129"/>
      <c r="F1" s="129"/>
      <c r="G1" s="129"/>
      <c r="H1" s="129"/>
    </row>
    <row r="2" spans="1:12" ht="37.5" customHeight="1" thickBot="1">
      <c r="K2" s="6">
        <f>9*25000</f>
        <v>225000</v>
      </c>
    </row>
    <row r="3" spans="1:12" ht="37.5" customHeight="1">
      <c r="A3" s="7" t="s">
        <v>53</v>
      </c>
      <c r="B3" s="8" t="s">
        <v>54</v>
      </c>
      <c r="C3" s="8" t="s">
        <v>54</v>
      </c>
      <c r="D3" s="8" t="s">
        <v>55</v>
      </c>
      <c r="E3" s="9" t="s">
        <v>56</v>
      </c>
      <c r="F3" s="8" t="s">
        <v>57</v>
      </c>
      <c r="G3" s="8" t="s">
        <v>58</v>
      </c>
      <c r="H3" s="10" t="s">
        <v>59</v>
      </c>
      <c r="I3" s="10" t="s">
        <v>59</v>
      </c>
      <c r="J3" s="11"/>
      <c r="K3" s="12">
        <f>1500000-225000</f>
        <v>1275000</v>
      </c>
    </row>
    <row r="4" spans="1:12" ht="37.5" customHeight="1">
      <c r="A4" s="13"/>
      <c r="B4" s="14" t="s">
        <v>60</v>
      </c>
      <c r="C4" s="14" t="s">
        <v>61</v>
      </c>
      <c r="D4" s="14" t="s">
        <v>62</v>
      </c>
      <c r="E4" s="15" t="s">
        <v>63</v>
      </c>
      <c r="F4" s="14" t="s">
        <v>64</v>
      </c>
      <c r="G4" s="14" t="s">
        <v>59</v>
      </c>
      <c r="H4" s="16" t="s">
        <v>195</v>
      </c>
      <c r="I4" s="16" t="s">
        <v>200</v>
      </c>
      <c r="J4" s="11" t="s">
        <v>130</v>
      </c>
      <c r="K4" s="12">
        <f>K3/50</f>
        <v>25500</v>
      </c>
    </row>
    <row r="5" spans="1:12" ht="37.5" customHeight="1">
      <c r="A5" s="13"/>
      <c r="B5" s="14"/>
      <c r="C5" s="14"/>
      <c r="D5" s="14"/>
      <c r="E5" s="15" t="s">
        <v>65</v>
      </c>
      <c r="F5" s="17">
        <v>44926</v>
      </c>
      <c r="G5" s="14" t="s">
        <v>66</v>
      </c>
      <c r="H5" s="16" t="s">
        <v>67</v>
      </c>
      <c r="I5" s="16" t="s">
        <v>68</v>
      </c>
      <c r="J5" s="11"/>
      <c r="K5" s="12"/>
    </row>
    <row r="6" spans="1:12" ht="37.5" customHeight="1">
      <c r="A6" s="13" t="s">
        <v>69</v>
      </c>
      <c r="B6" s="18">
        <v>20</v>
      </c>
      <c r="C6" s="19">
        <v>1500000</v>
      </c>
      <c r="D6" s="18">
        <v>8</v>
      </c>
      <c r="E6" s="20">
        <v>0.5</v>
      </c>
      <c r="F6" s="93">
        <f>F11*E6</f>
        <v>20443</v>
      </c>
      <c r="G6" s="21">
        <f>SUM(C6-F6)</f>
        <v>1479557</v>
      </c>
      <c r="H6" s="22">
        <f>SUM(G6/D6)</f>
        <v>184944.625</v>
      </c>
      <c r="I6" s="23">
        <f>H6*0.15</f>
        <v>27741.693749999999</v>
      </c>
      <c r="J6" s="11"/>
      <c r="K6" s="12">
        <f>H6*0.05</f>
        <v>9247.2312500000007</v>
      </c>
      <c r="L6" s="37">
        <f>H6*0.1</f>
        <v>18494.462500000001</v>
      </c>
    </row>
    <row r="7" spans="1:12" ht="37.5" customHeight="1">
      <c r="A7" s="13" t="s">
        <v>70</v>
      </c>
      <c r="B7" s="18">
        <v>30</v>
      </c>
      <c r="C7" s="21">
        <v>800000</v>
      </c>
      <c r="D7" s="18">
        <v>28</v>
      </c>
      <c r="E7" s="20">
        <v>0.125</v>
      </c>
      <c r="F7" s="93">
        <f>F11*E7</f>
        <v>5110.75</v>
      </c>
      <c r="G7" s="21">
        <f t="shared" ref="G7:G10" si="0">SUM(C7-F7)</f>
        <v>794889.25</v>
      </c>
      <c r="H7" s="22">
        <f>SUM(G7/29)</f>
        <v>27409.974137931036</v>
      </c>
      <c r="I7" s="23">
        <f>H7*0.15</f>
        <v>4111.4961206896551</v>
      </c>
      <c r="J7" s="11"/>
      <c r="K7" s="12">
        <f>H7*0.05</f>
        <v>1370.498706896552</v>
      </c>
      <c r="L7" s="37">
        <f>H7*0.1</f>
        <v>2740.997413793104</v>
      </c>
    </row>
    <row r="8" spans="1:12" ht="37.5" customHeight="1">
      <c r="A8" s="13" t="s">
        <v>71</v>
      </c>
      <c r="B8" s="18">
        <v>8</v>
      </c>
      <c r="C8" s="21">
        <v>20000</v>
      </c>
      <c r="D8" s="18">
        <v>7</v>
      </c>
      <c r="E8" s="20">
        <v>0.125</v>
      </c>
      <c r="F8" s="93">
        <f>F11*E8</f>
        <v>5110.75</v>
      </c>
      <c r="G8" s="21">
        <f t="shared" si="0"/>
        <v>14889.25</v>
      </c>
      <c r="H8" s="22">
        <f>SUM(G8/1)</f>
        <v>14889.25</v>
      </c>
      <c r="I8" s="23">
        <f>H8*0.15</f>
        <v>2233.3874999999998</v>
      </c>
      <c r="J8" s="11"/>
      <c r="K8" s="12">
        <f>H8*0.05</f>
        <v>744.46250000000009</v>
      </c>
      <c r="L8" s="37">
        <f>H8*0.1</f>
        <v>1488.9250000000002</v>
      </c>
    </row>
    <row r="9" spans="1:12" ht="37.5" customHeight="1">
      <c r="A9" s="13" t="s">
        <v>72</v>
      </c>
      <c r="B9" s="18">
        <v>40</v>
      </c>
      <c r="C9" s="21">
        <v>70000</v>
      </c>
      <c r="D9" s="18">
        <v>2</v>
      </c>
      <c r="E9" s="20">
        <v>0.125</v>
      </c>
      <c r="F9" s="93">
        <f>F11*E9</f>
        <v>5110.75</v>
      </c>
      <c r="G9" s="21">
        <f t="shared" si="0"/>
        <v>64889.25</v>
      </c>
      <c r="H9" s="22">
        <f>SUM(G9/3)</f>
        <v>21629.75</v>
      </c>
      <c r="I9" s="22">
        <f>H9*0.15</f>
        <v>3244.4625000000001</v>
      </c>
      <c r="J9" s="11"/>
      <c r="K9" s="12">
        <f>H9*0.05</f>
        <v>1081.4875</v>
      </c>
      <c r="L9" s="37">
        <f>H9*0.1</f>
        <v>2162.9749999999999</v>
      </c>
    </row>
    <row r="10" spans="1:12" ht="37.5" customHeight="1">
      <c r="A10" s="13" t="s">
        <v>73</v>
      </c>
      <c r="B10" s="18">
        <v>8</v>
      </c>
      <c r="C10" s="21">
        <v>100000</v>
      </c>
      <c r="D10" s="18">
        <v>6</v>
      </c>
      <c r="E10" s="20">
        <v>0.125</v>
      </c>
      <c r="F10" s="93">
        <f>F11*E10</f>
        <v>5110.75</v>
      </c>
      <c r="G10" s="21">
        <f t="shared" si="0"/>
        <v>94889.25</v>
      </c>
      <c r="H10" s="22">
        <f>SUM(G10/7)</f>
        <v>13555.607142857143</v>
      </c>
      <c r="I10" s="22">
        <f>H10*0.15</f>
        <v>2033.3410714285715</v>
      </c>
      <c r="K10" s="37">
        <f>H10*0.05</f>
        <v>677.78035714285716</v>
      </c>
      <c r="L10" s="37">
        <f>SUM(H10*0.1)</f>
        <v>1355.5607142857143</v>
      </c>
    </row>
    <row r="11" spans="1:12" ht="37.5" customHeight="1" thickBot="1">
      <c r="A11" s="24" t="s">
        <v>74</v>
      </c>
      <c r="B11" s="25"/>
      <c r="C11" s="26">
        <f>SUM(C6:C10)</f>
        <v>2490000</v>
      </c>
      <c r="D11" s="25"/>
      <c r="E11" s="27">
        <f>SUM(E6:E10)</f>
        <v>1</v>
      </c>
      <c r="F11" s="26">
        <v>40886</v>
      </c>
      <c r="G11" s="26">
        <f>SUM(G6:G10)</f>
        <v>2449114</v>
      </c>
      <c r="H11" s="28">
        <f>SUM(H6:H10)</f>
        <v>262429.20628078817</v>
      </c>
      <c r="I11" s="42">
        <f>SUM(I6:I10)</f>
        <v>39364.380942118223</v>
      </c>
      <c r="K11" s="53">
        <f>SUM(K6:K10)</f>
        <v>13121.46031403941</v>
      </c>
      <c r="L11" s="37">
        <f>SUM(L6:L10)</f>
        <v>26242.92062807882</v>
      </c>
    </row>
    <row r="12" spans="1:12">
      <c r="K12" s="6">
        <f>K11/50/4</f>
        <v>65.607301570197052</v>
      </c>
      <c r="L12" s="37">
        <f>L11/50/4</f>
        <v>131.2146031403941</v>
      </c>
    </row>
    <row r="13" spans="1:12">
      <c r="A13" s="130" t="s">
        <v>75</v>
      </c>
      <c r="B13" s="130"/>
      <c r="C13" s="130"/>
      <c r="D13" s="130" t="s">
        <v>76</v>
      </c>
      <c r="E13" s="130"/>
      <c r="F13" s="130"/>
      <c r="G13" s="130"/>
      <c r="H13" s="130"/>
      <c r="I13" s="130"/>
    </row>
    <row r="14" spans="1:12" ht="46.2">
      <c r="A14" s="131" t="s">
        <v>79</v>
      </c>
      <c r="B14" s="132" t="s">
        <v>78</v>
      </c>
      <c r="C14" s="132"/>
      <c r="D14" s="132"/>
      <c r="E14" s="133" t="s">
        <v>80</v>
      </c>
      <c r="F14" s="133"/>
      <c r="G14" s="29" t="s">
        <v>81</v>
      </c>
      <c r="H14" s="29" t="s">
        <v>128</v>
      </c>
      <c r="I14" s="29" t="s">
        <v>129</v>
      </c>
      <c r="J14" s="35"/>
    </row>
    <row r="15" spans="1:12">
      <c r="A15" s="131"/>
      <c r="B15" s="134">
        <v>1193</v>
      </c>
      <c r="C15" s="134"/>
      <c r="D15" s="134"/>
      <c r="E15" s="144">
        <f>SUM(H11/50/4)</f>
        <v>1312.1460314039409</v>
      </c>
      <c r="F15" s="144"/>
      <c r="G15" s="38">
        <f>E15+B15</f>
        <v>2505.1460314039409</v>
      </c>
      <c r="H15" s="89">
        <f>I11/4/50</f>
        <v>196.82190471059113</v>
      </c>
      <c r="I15" s="89">
        <f>SUM(H15+B15)</f>
        <v>1389.8219047105911</v>
      </c>
      <c r="J15" s="36"/>
      <c r="K15" s="37"/>
    </row>
    <row r="16" spans="1:12" ht="24" thickBot="1"/>
    <row r="17" spans="1:11">
      <c r="A17" s="123" t="s">
        <v>77</v>
      </c>
      <c r="B17" s="124"/>
      <c r="C17" s="124"/>
      <c r="D17" s="124"/>
      <c r="E17" s="124"/>
      <c r="F17" s="124"/>
      <c r="G17" s="124"/>
      <c r="H17" s="124"/>
      <c r="I17" s="125"/>
    </row>
    <row r="18" spans="1:11" ht="24" thickBot="1">
      <c r="A18" s="126"/>
      <c r="B18" s="127"/>
      <c r="C18" s="127"/>
      <c r="D18" s="127"/>
      <c r="E18" s="127"/>
      <c r="F18" s="127"/>
      <c r="G18" s="127"/>
      <c r="H18" s="127"/>
      <c r="I18" s="128"/>
    </row>
    <row r="20" spans="1:11">
      <c r="K20" s="37">
        <f>I11/4</f>
        <v>9841.0952355295558</v>
      </c>
    </row>
    <row r="21" spans="1:11">
      <c r="G21" s="37">
        <f>B15+J15</f>
        <v>1193</v>
      </c>
    </row>
  </sheetData>
  <mergeCells count="9">
    <mergeCell ref="A17:I18"/>
    <mergeCell ref="A1:H1"/>
    <mergeCell ref="A13:C13"/>
    <mergeCell ref="D13:I13"/>
    <mergeCell ref="A14:A15"/>
    <mergeCell ref="B14:D14"/>
    <mergeCell ref="E14:F14"/>
    <mergeCell ref="B15:D15"/>
    <mergeCell ref="E15:F15"/>
  </mergeCells>
  <pageMargins left="0.25" right="0.25" top="0.75" bottom="0.75" header="0.3" footer="0.3"/>
  <pageSetup scale="4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5D160-AB0C-4CEC-A1B9-8D61D9661B09}">
  <sheetPr>
    <tabColor rgb="FFFFFF00"/>
  </sheetPr>
  <dimension ref="A1:N54"/>
  <sheetViews>
    <sheetView tabSelected="1" view="pageBreakPreview" zoomScale="136" zoomScaleNormal="136" zoomScaleSheetLayoutView="136" workbookViewId="0">
      <selection activeCell="A53" sqref="A53"/>
    </sheetView>
  </sheetViews>
  <sheetFormatPr defaultColWidth="8.77734375" defaultRowHeight="14.4"/>
  <cols>
    <col min="1" max="1" width="25.77734375" style="50" bestFit="1" customWidth="1"/>
    <col min="2" max="2" width="29.5546875" style="2" bestFit="1" customWidth="1"/>
    <col min="3" max="3" width="28.5546875" style="2" bestFit="1" customWidth="1"/>
    <col min="4" max="4" width="16.44140625" style="2" customWidth="1"/>
    <col min="5" max="5" width="9.21875" bestFit="1" customWidth="1"/>
    <col min="6" max="6" width="12.21875" bestFit="1" customWidth="1"/>
    <col min="9" max="9" width="9.5546875" bestFit="1" customWidth="1"/>
    <col min="11" max="11" width="10.21875" bestFit="1" customWidth="1"/>
  </cols>
  <sheetData>
    <row r="1" spans="1:13" ht="48" customHeight="1">
      <c r="A1" s="100" t="s">
        <v>208</v>
      </c>
      <c r="B1" s="100"/>
      <c r="C1" s="100"/>
      <c r="D1" s="100"/>
    </row>
    <row r="2" spans="1:13">
      <c r="B2" s="104" t="s">
        <v>203</v>
      </c>
      <c r="C2" s="104" t="s">
        <v>204</v>
      </c>
      <c r="D2" s="104" t="s">
        <v>205</v>
      </c>
    </row>
    <row r="3" spans="1:13" ht="17.25" customHeight="1">
      <c r="B3" s="104"/>
      <c r="C3" s="104"/>
      <c r="D3" s="104"/>
      <c r="F3">
        <v>266628</v>
      </c>
    </row>
    <row r="4" spans="1:13" ht="18.75" customHeight="1">
      <c r="A4" s="51" t="s">
        <v>0</v>
      </c>
      <c r="F4" s="1">
        <f>(F3-D9-D7-D6)/50/4</f>
        <v>1256.8900000000001</v>
      </c>
    </row>
    <row r="5" spans="1:13" ht="18.75" customHeight="1">
      <c r="A5" s="50" t="s">
        <v>1</v>
      </c>
      <c r="B5" s="41">
        <f>1193*50*4</f>
        <v>238600</v>
      </c>
      <c r="C5" s="41">
        <v>280464</v>
      </c>
      <c r="D5" s="41">
        <f>D46-D6-D9-D7</f>
        <v>268970</v>
      </c>
      <c r="E5" s="1">
        <f>D5/50/4</f>
        <v>1344.85</v>
      </c>
      <c r="F5" s="1"/>
    </row>
    <row r="6" spans="1:13" ht="18.75" customHeight="1">
      <c r="A6" s="50" t="s">
        <v>2</v>
      </c>
      <c r="B6" s="41">
        <v>500</v>
      </c>
      <c r="C6" s="41">
        <v>500</v>
      </c>
      <c r="D6" s="41">
        <v>500</v>
      </c>
    </row>
    <row r="7" spans="1:13" ht="18.75" customHeight="1">
      <c r="A7" s="50" t="s">
        <v>64</v>
      </c>
      <c r="B7" s="41">
        <v>39364.380942118223</v>
      </c>
      <c r="C7" s="41">
        <v>14700</v>
      </c>
      <c r="D7" s="41">
        <v>14700</v>
      </c>
      <c r="E7" s="49" t="s">
        <v>134</v>
      </c>
      <c r="M7">
        <f>356.16*18*3</f>
        <v>19232.64</v>
      </c>
    </row>
    <row r="8" spans="1:13" ht="18.75" customHeight="1">
      <c r="A8" s="50" t="s">
        <v>136</v>
      </c>
      <c r="B8" s="41">
        <f>356*12*18</f>
        <v>76896</v>
      </c>
      <c r="C8" s="41">
        <v>72000</v>
      </c>
      <c r="D8" s="41">
        <v>65000</v>
      </c>
      <c r="E8" s="49"/>
    </row>
    <row r="9" spans="1:13" ht="18.75" customHeight="1" thickBot="1">
      <c r="A9" s="50" t="s">
        <v>4</v>
      </c>
      <c r="B9" s="91">
        <v>50</v>
      </c>
      <c r="C9" s="91">
        <v>50</v>
      </c>
      <c r="D9" s="91">
        <v>50</v>
      </c>
      <c r="E9" s="1" t="s">
        <v>135</v>
      </c>
      <c r="H9">
        <f>50*127*4</f>
        <v>25400</v>
      </c>
      <c r="I9" s="55">
        <f>H9-C7</f>
        <v>10700</v>
      </c>
    </row>
    <row r="10" spans="1:13" ht="18.75" customHeight="1">
      <c r="A10" s="51" t="s">
        <v>5</v>
      </c>
      <c r="B10" s="40">
        <f>SUM(B5:B9)</f>
        <v>355410.38094211824</v>
      </c>
      <c r="C10" s="40">
        <f>SUM(C5:C9)</f>
        <v>367714</v>
      </c>
      <c r="D10" s="40">
        <f>SUM(D5:D9)</f>
        <v>349220</v>
      </c>
    </row>
    <row r="11" spans="1:13" ht="18.75" customHeight="1">
      <c r="A11" s="50" t="s">
        <v>201</v>
      </c>
      <c r="B11" s="41">
        <f>SUM(B10-B8)</f>
        <v>278514.38094211824</v>
      </c>
      <c r="C11" s="41">
        <f>SUM(C10-C8)</f>
        <v>295714</v>
      </c>
      <c r="D11" s="41">
        <f>SUM(D10-D8)</f>
        <v>284220</v>
      </c>
    </row>
    <row r="12" spans="1:13" ht="18.75" customHeight="1">
      <c r="A12" s="51" t="s">
        <v>6</v>
      </c>
      <c r="B12" s="41"/>
      <c r="C12" s="41"/>
      <c r="D12" s="41"/>
      <c r="F12">
        <f>12000*12</f>
        <v>144000</v>
      </c>
    </row>
    <row r="13" spans="1:13" ht="18.75" customHeight="1">
      <c r="A13" s="50" t="s">
        <v>7</v>
      </c>
      <c r="B13" s="41">
        <v>7200</v>
      </c>
      <c r="C13" s="40">
        <f>3600*2</f>
        <v>7200</v>
      </c>
      <c r="D13" s="41">
        <v>7200</v>
      </c>
    </row>
    <row r="14" spans="1:13" ht="18.75" customHeight="1">
      <c r="A14" s="50" t="s">
        <v>8</v>
      </c>
      <c r="B14" s="41">
        <v>500</v>
      </c>
      <c r="C14" s="40">
        <v>550</v>
      </c>
      <c r="D14" s="41">
        <v>3500</v>
      </c>
    </row>
    <row r="15" spans="1:13" ht="18.75" customHeight="1">
      <c r="A15" s="50" t="s">
        <v>9</v>
      </c>
      <c r="B15" s="41">
        <v>750</v>
      </c>
      <c r="C15" s="40">
        <v>1800</v>
      </c>
      <c r="D15" s="41">
        <v>1200</v>
      </c>
    </row>
    <row r="16" spans="1:13" ht="18.75" customHeight="1">
      <c r="A16" s="50" t="s">
        <v>10</v>
      </c>
      <c r="B16" s="41">
        <v>380</v>
      </c>
      <c r="C16" s="40">
        <v>380</v>
      </c>
      <c r="D16" s="41">
        <v>400</v>
      </c>
    </row>
    <row r="17" spans="1:4" ht="18.75" customHeight="1">
      <c r="A17" s="50" t="s">
        <v>50</v>
      </c>
      <c r="B17" s="41">
        <v>200</v>
      </c>
      <c r="C17" s="40">
        <v>200</v>
      </c>
      <c r="D17" s="41">
        <v>250</v>
      </c>
    </row>
    <row r="18" spans="1:4" ht="18.75" customHeight="1">
      <c r="A18" s="50" t="s">
        <v>11</v>
      </c>
      <c r="B18" s="41">
        <v>20</v>
      </c>
      <c r="C18" s="40">
        <v>20</v>
      </c>
      <c r="D18" s="41">
        <v>20</v>
      </c>
    </row>
    <row r="19" spans="1:4" ht="18.75" customHeight="1">
      <c r="A19" s="50" t="s">
        <v>12</v>
      </c>
      <c r="B19" s="41">
        <v>1000</v>
      </c>
      <c r="C19" s="40">
        <v>1000</v>
      </c>
      <c r="D19" s="41">
        <v>1000</v>
      </c>
    </row>
    <row r="20" spans="1:4" ht="18.75" customHeight="1">
      <c r="A20" s="50" t="s">
        <v>13</v>
      </c>
      <c r="B20" s="41">
        <v>140550</v>
      </c>
      <c r="C20" s="40">
        <v>140000</v>
      </c>
      <c r="D20" s="41">
        <v>170000</v>
      </c>
    </row>
    <row r="21" spans="1:4" ht="18.75" customHeight="1">
      <c r="A21" s="50" t="s">
        <v>14</v>
      </c>
      <c r="B21" s="41">
        <v>6800</v>
      </c>
      <c r="C21" s="40">
        <v>6800</v>
      </c>
      <c r="D21" s="41">
        <v>9000</v>
      </c>
    </row>
    <row r="22" spans="1:4" ht="18.75" customHeight="1">
      <c r="A22" s="50" t="s">
        <v>121</v>
      </c>
      <c r="B22" s="41">
        <v>0</v>
      </c>
      <c r="C22" s="40">
        <v>6000</v>
      </c>
      <c r="D22" s="41">
        <v>10000</v>
      </c>
    </row>
    <row r="23" spans="1:4" ht="18.75" customHeight="1">
      <c r="A23" s="50" t="s">
        <v>123</v>
      </c>
      <c r="B23" s="41">
        <v>250</v>
      </c>
      <c r="C23" s="40">
        <v>250</v>
      </c>
      <c r="D23" s="41">
        <v>250</v>
      </c>
    </row>
    <row r="24" spans="1:4" ht="18.75" customHeight="1">
      <c r="A24" s="50" t="s">
        <v>124</v>
      </c>
      <c r="B24" s="41">
        <v>1000</v>
      </c>
      <c r="C24" s="40">
        <v>1000</v>
      </c>
      <c r="D24" s="41">
        <v>500</v>
      </c>
    </row>
    <row r="25" spans="1:4" ht="18.75" customHeight="1">
      <c r="A25" s="50" t="s">
        <v>122</v>
      </c>
      <c r="B25" s="41">
        <v>500</v>
      </c>
      <c r="C25" s="40">
        <v>500</v>
      </c>
      <c r="D25" s="41">
        <v>2000</v>
      </c>
    </row>
    <row r="26" spans="1:4" ht="18.75" customHeight="1">
      <c r="A26" s="50" t="s">
        <v>52</v>
      </c>
      <c r="B26" s="41">
        <v>500</v>
      </c>
      <c r="C26" s="40">
        <v>500</v>
      </c>
      <c r="D26" s="41">
        <v>500</v>
      </c>
    </row>
    <row r="27" spans="1:4" ht="18.75" customHeight="1">
      <c r="A27" s="50" t="s">
        <v>17</v>
      </c>
      <c r="B27" s="41">
        <v>25000</v>
      </c>
      <c r="C27" s="40">
        <v>25000</v>
      </c>
      <c r="D27" s="41">
        <v>25000</v>
      </c>
    </row>
    <row r="28" spans="1:4" ht="18.75" customHeight="1">
      <c r="A28" s="50" t="s">
        <v>18</v>
      </c>
      <c r="B28" s="41">
        <v>2600</v>
      </c>
      <c r="C28" s="41">
        <v>2600</v>
      </c>
      <c r="D28" s="41">
        <v>2600</v>
      </c>
    </row>
    <row r="29" spans="1:4" ht="18.75" customHeight="1">
      <c r="A29" s="50" t="s">
        <v>19</v>
      </c>
      <c r="B29" s="41">
        <v>3000</v>
      </c>
      <c r="C29" s="40">
        <v>11400</v>
      </c>
      <c r="D29" s="41">
        <v>3000</v>
      </c>
    </row>
    <row r="30" spans="1:4" ht="18.75" customHeight="1" thickBot="1">
      <c r="A30" s="50" t="s">
        <v>20</v>
      </c>
      <c r="B30" s="91">
        <v>10000</v>
      </c>
      <c r="C30" s="92">
        <v>10000</v>
      </c>
      <c r="D30" s="91">
        <v>14000</v>
      </c>
    </row>
    <row r="31" spans="1:4" ht="28.5" customHeight="1">
      <c r="A31" s="51" t="s">
        <v>21</v>
      </c>
      <c r="B31" s="40">
        <f>SUM(B13:B30)</f>
        <v>200250</v>
      </c>
      <c r="C31" s="40">
        <f>SUM(C13:C30)</f>
        <v>215200</v>
      </c>
      <c r="D31" s="40">
        <f>SUM(D13:D30)</f>
        <v>250420</v>
      </c>
    </row>
    <row r="32" spans="1:4" ht="18.75" customHeight="1">
      <c r="B32" s="41"/>
      <c r="C32" s="41"/>
      <c r="D32" s="41"/>
    </row>
    <row r="33" spans="1:14" ht="27" customHeight="1">
      <c r="A33" s="51" t="s">
        <v>22</v>
      </c>
      <c r="B33" s="41"/>
      <c r="C33" s="41"/>
      <c r="D33" s="41"/>
    </row>
    <row r="34" spans="1:14" ht="26.25" customHeight="1">
      <c r="A34" s="50" t="s">
        <v>23</v>
      </c>
      <c r="B34" s="41">
        <v>2000</v>
      </c>
      <c r="C34" s="41">
        <v>2000</v>
      </c>
      <c r="D34" s="41">
        <v>500</v>
      </c>
    </row>
    <row r="35" spans="1:14" ht="18.75" customHeight="1">
      <c r="A35" s="50" t="s">
        <v>24</v>
      </c>
      <c r="B35" s="41">
        <v>9500</v>
      </c>
      <c r="C35" s="40">
        <v>9500</v>
      </c>
      <c r="D35" s="41">
        <v>9500</v>
      </c>
    </row>
    <row r="36" spans="1:14" ht="18.75" customHeight="1">
      <c r="A36" s="50" t="s">
        <v>198</v>
      </c>
      <c r="B36" s="41">
        <v>5400</v>
      </c>
      <c r="C36" s="40">
        <v>5400</v>
      </c>
      <c r="D36" s="41">
        <v>5400</v>
      </c>
      <c r="F36">
        <f>450*12</f>
        <v>5400</v>
      </c>
    </row>
    <row r="37" spans="1:14" ht="18.75" customHeight="1">
      <c r="A37" s="50" t="s">
        <v>199</v>
      </c>
      <c r="B37" s="41">
        <v>7700</v>
      </c>
      <c r="C37" s="40">
        <v>7700</v>
      </c>
      <c r="D37" s="41">
        <v>7700</v>
      </c>
    </row>
    <row r="38" spans="1:14" ht="18.75" customHeight="1">
      <c r="A38" s="50" t="s">
        <v>51</v>
      </c>
      <c r="B38" s="41">
        <v>0</v>
      </c>
      <c r="C38" s="40">
        <v>0</v>
      </c>
      <c r="D38" s="41">
        <v>0</v>
      </c>
    </row>
    <row r="39" spans="1:14" ht="18.75" customHeight="1">
      <c r="A39" s="50" t="s">
        <v>27</v>
      </c>
      <c r="B39" s="41">
        <v>2500</v>
      </c>
      <c r="C39" s="40">
        <v>2500</v>
      </c>
      <c r="D39" s="41">
        <v>2500</v>
      </c>
    </row>
    <row r="40" spans="1:14" ht="18.75" customHeight="1">
      <c r="A40" s="50" t="s">
        <v>28</v>
      </c>
      <c r="B40" s="41">
        <v>6800</v>
      </c>
      <c r="C40" s="40">
        <v>6800</v>
      </c>
      <c r="D40" s="41">
        <f>600*12</f>
        <v>7200</v>
      </c>
      <c r="F40">
        <v>6000</v>
      </c>
      <c r="N40">
        <f>282509/50/4</f>
        <v>1412.5450000000001</v>
      </c>
    </row>
    <row r="41" spans="1:14" ht="18.75" customHeight="1" thickBot="1">
      <c r="A41" s="50" t="s">
        <v>29</v>
      </c>
      <c r="B41" s="91">
        <v>5000</v>
      </c>
      <c r="C41" s="92">
        <v>5000</v>
      </c>
      <c r="D41" s="91">
        <v>1000</v>
      </c>
      <c r="I41">
        <f>1159.33*50*4</f>
        <v>231866</v>
      </c>
    </row>
    <row r="42" spans="1:14" ht="30.75" customHeight="1">
      <c r="A42" s="51" t="s">
        <v>30</v>
      </c>
      <c r="B42" s="40">
        <f>SUM(B34:B41)</f>
        <v>38900</v>
      </c>
      <c r="C42" s="40">
        <f>SUM(C34:C41)</f>
        <v>38900</v>
      </c>
      <c r="D42" s="40">
        <f>SUM(D34:D41)</f>
        <v>33800</v>
      </c>
    </row>
    <row r="43" spans="1:14" ht="26.55" customHeight="1">
      <c r="A43" s="51" t="s">
        <v>202</v>
      </c>
      <c r="B43" s="40">
        <v>49928.76</v>
      </c>
      <c r="C43" s="40">
        <v>49929</v>
      </c>
      <c r="D43" s="40">
        <v>65000</v>
      </c>
    </row>
    <row r="44" spans="1:14" ht="26.25" customHeight="1" thickBot="1">
      <c r="A44" s="51" t="s">
        <v>31</v>
      </c>
      <c r="B44" s="42">
        <v>39364.380942118223</v>
      </c>
      <c r="C44" s="40">
        <f>3675*4</f>
        <v>14700</v>
      </c>
      <c r="D44" s="42">
        <v>0</v>
      </c>
      <c r="E44" t="s">
        <v>104</v>
      </c>
      <c r="F44" s="1"/>
    </row>
    <row r="45" spans="1:14" ht="18.75" customHeight="1" thickBot="1">
      <c r="B45" s="91"/>
      <c r="C45" s="91"/>
      <c r="D45" s="91"/>
      <c r="F45" s="1"/>
      <c r="G45" s="1"/>
    </row>
    <row r="46" spans="1:14" ht="18.75" customHeight="1">
      <c r="A46" s="51" t="s">
        <v>33</v>
      </c>
      <c r="B46" s="40">
        <f>SUM(B31+B42)</f>
        <v>239150</v>
      </c>
      <c r="C46" s="40">
        <f>SUM(C31+C42+C44)</f>
        <v>268800</v>
      </c>
      <c r="D46" s="40">
        <f>SUM(D42+D31)</f>
        <v>284220</v>
      </c>
      <c r="F46" s="1"/>
    </row>
    <row r="47" spans="1:14" ht="18.75" customHeight="1">
      <c r="F47" s="1">
        <f>SUM(D46/50/4)</f>
        <v>1421.1</v>
      </c>
      <c r="I47" s="1">
        <f>D46/50/4</f>
        <v>1421.1</v>
      </c>
    </row>
    <row r="48" spans="1:14" ht="15" thickBot="1"/>
    <row r="49" spans="1:6">
      <c r="A49" s="135" t="s">
        <v>211</v>
      </c>
      <c r="B49" s="136"/>
      <c r="C49" s="136"/>
      <c r="D49" s="137"/>
    </row>
    <row r="50" spans="1:6">
      <c r="A50" s="138"/>
      <c r="B50" s="139"/>
      <c r="C50" s="139"/>
      <c r="D50" s="140"/>
      <c r="F50" s="1">
        <f>F47+183</f>
        <v>1604.1</v>
      </c>
    </row>
    <row r="51" spans="1:6">
      <c r="A51" s="138"/>
      <c r="B51" s="139"/>
      <c r="C51" s="139"/>
      <c r="D51" s="140"/>
    </row>
    <row r="52" spans="1:6" ht="15" thickBot="1">
      <c r="A52" s="141"/>
      <c r="B52" s="142"/>
      <c r="C52" s="142"/>
      <c r="D52" s="143"/>
    </row>
    <row r="54" spans="1:6" ht="18.75" customHeight="1"/>
  </sheetData>
  <mergeCells count="5">
    <mergeCell ref="A1:D1"/>
    <mergeCell ref="B2:B3"/>
    <mergeCell ref="C2:C3"/>
    <mergeCell ref="D2:D3"/>
    <mergeCell ref="A49:D52"/>
  </mergeCells>
  <pageMargins left="0.25" right="0.25" top="0.75" bottom="0.75" header="0.3" footer="0.3"/>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8DB33-6B8B-495B-9971-E3BF53C29657}">
  <sheetPr>
    <tabColor rgb="FFFFFF00"/>
  </sheetPr>
  <dimension ref="A1:L21"/>
  <sheetViews>
    <sheetView view="pageBreakPreview" zoomScale="84" zoomScaleNormal="84" zoomScaleSheetLayoutView="84" workbookViewId="0">
      <selection activeCell="B16" sqref="B16"/>
    </sheetView>
  </sheetViews>
  <sheetFormatPr defaultColWidth="9" defaultRowHeight="23.4"/>
  <cols>
    <col min="1" max="1" width="21.77734375" style="6" bestFit="1" customWidth="1"/>
    <col min="2" max="2" width="19.21875" style="6" bestFit="1" customWidth="1"/>
    <col min="3" max="3" width="24.44140625" style="6" bestFit="1" customWidth="1"/>
    <col min="4" max="4" width="27" style="6" bestFit="1" customWidth="1"/>
    <col min="5" max="5" width="21.5546875" style="6" bestFit="1" customWidth="1"/>
    <col min="6" max="6" width="19.44140625" style="6" bestFit="1" customWidth="1"/>
    <col min="7" max="7" width="25.5546875" style="6" bestFit="1" customWidth="1"/>
    <col min="8" max="8" width="30.5546875" style="6" bestFit="1" customWidth="1"/>
    <col min="9" max="9" width="34" style="6" bestFit="1" customWidth="1"/>
    <col min="10" max="10" width="38" style="6" customWidth="1"/>
    <col min="11" max="11" width="18.21875" style="6" bestFit="1" customWidth="1"/>
    <col min="12" max="12" width="22.44140625" style="6" customWidth="1"/>
    <col min="13" max="16384" width="9" style="6"/>
  </cols>
  <sheetData>
    <row r="1" spans="1:12" ht="37.5" customHeight="1">
      <c r="A1" s="129" t="s">
        <v>206</v>
      </c>
      <c r="B1" s="129"/>
      <c r="C1" s="129"/>
      <c r="D1" s="129"/>
      <c r="E1" s="129"/>
      <c r="F1" s="129"/>
      <c r="G1" s="129"/>
      <c r="H1" s="129"/>
    </row>
    <row r="2" spans="1:12" ht="37.5" customHeight="1" thickBot="1">
      <c r="K2" s="6">
        <f>9*25000</f>
        <v>225000</v>
      </c>
    </row>
    <row r="3" spans="1:12" ht="37.5" customHeight="1">
      <c r="A3" s="7" t="s">
        <v>53</v>
      </c>
      <c r="B3" s="8" t="s">
        <v>54</v>
      </c>
      <c r="C3" s="8" t="s">
        <v>54</v>
      </c>
      <c r="D3" s="8" t="s">
        <v>55</v>
      </c>
      <c r="E3" s="9" t="s">
        <v>56</v>
      </c>
      <c r="F3" s="8" t="s">
        <v>57</v>
      </c>
      <c r="G3" s="8" t="s">
        <v>58</v>
      </c>
      <c r="H3" s="10" t="s">
        <v>59</v>
      </c>
      <c r="I3" s="10" t="s">
        <v>59</v>
      </c>
      <c r="J3" s="11"/>
      <c r="K3" s="12">
        <f>1500000-225000</f>
        <v>1275000</v>
      </c>
    </row>
    <row r="4" spans="1:12" ht="37.5" customHeight="1">
      <c r="A4" s="13"/>
      <c r="B4" s="14" t="s">
        <v>60</v>
      </c>
      <c r="C4" s="14" t="s">
        <v>61</v>
      </c>
      <c r="D4" s="14" t="s">
        <v>62</v>
      </c>
      <c r="E4" s="15" t="s">
        <v>63</v>
      </c>
      <c r="F4" s="14" t="s">
        <v>64</v>
      </c>
      <c r="G4" s="14" t="s">
        <v>59</v>
      </c>
      <c r="H4" s="16" t="s">
        <v>207</v>
      </c>
      <c r="I4" s="16" t="s">
        <v>210</v>
      </c>
      <c r="J4" s="11" t="s">
        <v>130</v>
      </c>
      <c r="K4" s="12">
        <f>K3/50</f>
        <v>25500</v>
      </c>
    </row>
    <row r="5" spans="1:12" ht="37.5" customHeight="1">
      <c r="A5" s="13"/>
      <c r="B5" s="14"/>
      <c r="C5" s="14"/>
      <c r="D5" s="14"/>
      <c r="E5" s="15" t="s">
        <v>65</v>
      </c>
      <c r="F5" s="17">
        <v>45291</v>
      </c>
      <c r="G5" s="14" t="s">
        <v>66</v>
      </c>
      <c r="H5" s="16" t="s">
        <v>67</v>
      </c>
      <c r="I5" s="16" t="s">
        <v>68</v>
      </c>
      <c r="J5" s="11"/>
      <c r="K5" s="12"/>
    </row>
    <row r="6" spans="1:12" ht="37.5" customHeight="1">
      <c r="A6" s="13" t="s">
        <v>69</v>
      </c>
      <c r="B6" s="18">
        <v>20</v>
      </c>
      <c r="C6" s="19">
        <v>1500000</v>
      </c>
      <c r="D6" s="18">
        <v>7</v>
      </c>
      <c r="E6" s="20">
        <v>0.5</v>
      </c>
      <c r="F6" s="93">
        <f>F11*E6</f>
        <v>45000</v>
      </c>
      <c r="G6" s="21">
        <f>SUM(C6-F6)</f>
        <v>1455000</v>
      </c>
      <c r="H6" s="22">
        <f>SUM(G6/D6)</f>
        <v>207857.14285714287</v>
      </c>
      <c r="I6" s="23">
        <f>H6*0.15</f>
        <v>31178.571428571428</v>
      </c>
      <c r="J6" s="11"/>
      <c r="K6" s="12">
        <f>H6*0.05</f>
        <v>10392.857142857145</v>
      </c>
      <c r="L6" s="37">
        <f>H6*0.1</f>
        <v>20785.71428571429</v>
      </c>
    </row>
    <row r="7" spans="1:12" ht="37.5" customHeight="1">
      <c r="A7" s="13" t="s">
        <v>70</v>
      </c>
      <c r="B7" s="18">
        <v>30</v>
      </c>
      <c r="C7" s="21">
        <v>800000</v>
      </c>
      <c r="D7" s="18">
        <v>27</v>
      </c>
      <c r="E7" s="20">
        <v>0.125</v>
      </c>
      <c r="F7" s="93">
        <f>F11*E7</f>
        <v>11250</v>
      </c>
      <c r="G7" s="21">
        <f t="shared" ref="G7:G10" si="0">SUM(C7-F7)</f>
        <v>788750</v>
      </c>
      <c r="H7" s="22">
        <f>SUM(G7/29)</f>
        <v>27198.275862068964</v>
      </c>
      <c r="I7" s="23">
        <f>H7*0.15</f>
        <v>4079.7413793103442</v>
      </c>
      <c r="J7" s="11"/>
      <c r="K7" s="12">
        <f>H7*0.05</f>
        <v>1359.9137931034484</v>
      </c>
      <c r="L7" s="37">
        <f>H7*0.1</f>
        <v>2719.8275862068967</v>
      </c>
    </row>
    <row r="8" spans="1:12" ht="37.5" customHeight="1">
      <c r="A8" s="13" t="s">
        <v>71</v>
      </c>
      <c r="B8" s="18">
        <v>8</v>
      </c>
      <c r="C8" s="21">
        <v>20000</v>
      </c>
      <c r="D8" s="18">
        <v>6</v>
      </c>
      <c r="E8" s="20">
        <v>0.125</v>
      </c>
      <c r="F8" s="93">
        <f>F11*E8</f>
        <v>11250</v>
      </c>
      <c r="G8" s="21">
        <f t="shared" si="0"/>
        <v>8750</v>
      </c>
      <c r="H8" s="22">
        <f>SUM(G8/1)</f>
        <v>8750</v>
      </c>
      <c r="I8" s="23">
        <f>H8*0.15</f>
        <v>1312.5</v>
      </c>
      <c r="J8" s="11"/>
      <c r="K8" s="12">
        <f>H8*0.05</f>
        <v>437.5</v>
      </c>
      <c r="L8" s="37">
        <f>H8*0.1</f>
        <v>875</v>
      </c>
    </row>
    <row r="9" spans="1:12" ht="37.5" customHeight="1">
      <c r="A9" s="13" t="s">
        <v>72</v>
      </c>
      <c r="B9" s="18">
        <v>40</v>
      </c>
      <c r="C9" s="21">
        <v>70000</v>
      </c>
      <c r="D9" s="18">
        <v>1</v>
      </c>
      <c r="E9" s="20">
        <v>0.125</v>
      </c>
      <c r="F9" s="93">
        <f>F11*E9</f>
        <v>11250</v>
      </c>
      <c r="G9" s="21">
        <f t="shared" si="0"/>
        <v>58750</v>
      </c>
      <c r="H9" s="22">
        <f>SUM(G9/3)</f>
        <v>19583.333333333332</v>
      </c>
      <c r="I9" s="22">
        <f>H9*0.15</f>
        <v>2937.4999999999995</v>
      </c>
      <c r="J9" s="11"/>
      <c r="K9" s="12">
        <f>H9*0.05</f>
        <v>979.16666666666663</v>
      </c>
      <c r="L9" s="37">
        <f>H9*0.1</f>
        <v>1958.3333333333333</v>
      </c>
    </row>
    <row r="10" spans="1:12" ht="37.5" customHeight="1">
      <c r="A10" s="13" t="s">
        <v>73</v>
      </c>
      <c r="B10" s="18">
        <v>8</v>
      </c>
      <c r="C10" s="21">
        <v>100000</v>
      </c>
      <c r="D10" s="18">
        <v>5</v>
      </c>
      <c r="E10" s="20">
        <v>0.125</v>
      </c>
      <c r="F10" s="93">
        <f>F11*E10</f>
        <v>11250</v>
      </c>
      <c r="G10" s="21">
        <f t="shared" si="0"/>
        <v>88750</v>
      </c>
      <c r="H10" s="22">
        <f>SUM(G10/7)</f>
        <v>12678.571428571429</v>
      </c>
      <c r="I10" s="22">
        <f>H10*0.15</f>
        <v>1901.7857142857142</v>
      </c>
      <c r="K10" s="37">
        <f>H10*0.05</f>
        <v>633.92857142857156</v>
      </c>
      <c r="L10" s="37">
        <f>SUM(H10*0.1)</f>
        <v>1267.8571428571431</v>
      </c>
    </row>
    <row r="11" spans="1:12" ht="37.5" customHeight="1" thickBot="1">
      <c r="A11" s="24" t="s">
        <v>74</v>
      </c>
      <c r="B11" s="25"/>
      <c r="C11" s="26">
        <f>SUM(C6:C10)</f>
        <v>2490000</v>
      </c>
      <c r="D11" s="25"/>
      <c r="E11" s="27">
        <f>SUM(E6:E10)</f>
        <v>1</v>
      </c>
      <c r="F11" s="26">
        <v>90000</v>
      </c>
      <c r="G11" s="26">
        <f>SUM(G6:G10)</f>
        <v>2400000</v>
      </c>
      <c r="H11" s="28">
        <f>SUM(H6:H10)</f>
        <v>276067.32348111656</v>
      </c>
      <c r="I11" s="42">
        <f>SUM(I6:I10)</f>
        <v>41410.098522167485</v>
      </c>
      <c r="K11" s="53">
        <f>SUM(K6:K10)</f>
        <v>13803.366174055831</v>
      </c>
      <c r="L11" s="37">
        <f>SUM(L6:L10)</f>
        <v>27606.732348111662</v>
      </c>
    </row>
    <row r="12" spans="1:12">
      <c r="K12" s="6">
        <f>K11/50/4</f>
        <v>69.016830870279151</v>
      </c>
      <c r="L12" s="37">
        <f>L11/50/4</f>
        <v>138.0336617405583</v>
      </c>
    </row>
    <row r="13" spans="1:12">
      <c r="A13" s="130" t="s">
        <v>75</v>
      </c>
      <c r="B13" s="130"/>
      <c r="C13" s="130"/>
      <c r="D13" s="130" t="s">
        <v>76</v>
      </c>
      <c r="E13" s="130"/>
      <c r="F13" s="130"/>
      <c r="G13" s="130"/>
      <c r="H13" s="130"/>
      <c r="I13" s="130"/>
    </row>
    <row r="14" spans="1:12" ht="46.2">
      <c r="A14" s="131" t="s">
        <v>79</v>
      </c>
      <c r="B14" s="132" t="s">
        <v>78</v>
      </c>
      <c r="C14" s="132"/>
      <c r="D14" s="132"/>
      <c r="E14" s="133" t="s">
        <v>80</v>
      </c>
      <c r="F14" s="133"/>
      <c r="G14" s="29" t="s">
        <v>81</v>
      </c>
      <c r="H14" s="29" t="s">
        <v>128</v>
      </c>
      <c r="I14" s="29" t="s">
        <v>129</v>
      </c>
      <c r="J14" s="35"/>
    </row>
    <row r="15" spans="1:12">
      <c r="A15" s="131"/>
      <c r="B15" s="134">
        <v>1560</v>
      </c>
      <c r="C15" s="134"/>
      <c r="D15" s="134"/>
      <c r="E15" s="144">
        <f>SUM(H11/50/4)</f>
        <v>1380.3366174055827</v>
      </c>
      <c r="F15" s="144"/>
      <c r="G15" s="38">
        <f>E15+B15</f>
        <v>2940.3366174055827</v>
      </c>
      <c r="H15" s="89">
        <f>I11/4/50</f>
        <v>207.05049261083744</v>
      </c>
      <c r="I15" s="89">
        <f>B15+H15</f>
        <v>1767.0504926108374</v>
      </c>
      <c r="J15" s="36"/>
      <c r="K15" s="37"/>
    </row>
    <row r="16" spans="1:12" ht="24" thickBot="1"/>
    <row r="17" spans="1:11">
      <c r="A17" s="123" t="s">
        <v>77</v>
      </c>
      <c r="B17" s="124"/>
      <c r="C17" s="124"/>
      <c r="D17" s="124"/>
      <c r="E17" s="124"/>
      <c r="F17" s="124"/>
      <c r="G17" s="124"/>
      <c r="H17" s="124"/>
      <c r="I17" s="125"/>
    </row>
    <row r="18" spans="1:11" ht="24" thickBot="1">
      <c r="A18" s="126"/>
      <c r="B18" s="127"/>
      <c r="C18" s="127"/>
      <c r="D18" s="127"/>
      <c r="E18" s="127"/>
      <c r="F18" s="127"/>
      <c r="G18" s="127"/>
      <c r="H18" s="127"/>
      <c r="I18" s="128"/>
    </row>
    <row r="20" spans="1:11">
      <c r="K20" s="37">
        <f>I11/4</f>
        <v>10352.524630541871</v>
      </c>
    </row>
    <row r="21" spans="1:11">
      <c r="G21" s="37">
        <f>B15+J15</f>
        <v>1560</v>
      </c>
    </row>
  </sheetData>
  <mergeCells count="9">
    <mergeCell ref="A17:I18"/>
    <mergeCell ref="A1:H1"/>
    <mergeCell ref="A13:C13"/>
    <mergeCell ref="D13:I13"/>
    <mergeCell ref="A14:A15"/>
    <mergeCell ref="B14:D14"/>
    <mergeCell ref="E14:F14"/>
    <mergeCell ref="B15:D15"/>
    <mergeCell ref="E15:F15"/>
  </mergeCells>
  <pageMargins left="0.25" right="0.25" top="0.75" bottom="0.75" header="0.3" footer="0.3"/>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4629-F7A0-4D62-9AA4-7F973734A1EF}">
  <dimension ref="A1:I57"/>
  <sheetViews>
    <sheetView zoomScaleNormal="100" workbookViewId="0">
      <selection activeCell="D5" sqref="D5"/>
    </sheetView>
  </sheetViews>
  <sheetFormatPr defaultColWidth="8.77734375" defaultRowHeight="14.4"/>
  <cols>
    <col min="1" max="1" width="25.77734375" style="50" bestFit="1" customWidth="1"/>
    <col min="2" max="2" width="29.5546875" style="2" bestFit="1" customWidth="1"/>
    <col min="3" max="3" width="28.5546875" style="2" bestFit="1" customWidth="1"/>
    <col min="4" max="4" width="16.44140625" style="2" customWidth="1"/>
    <col min="6" max="6" width="11.21875" bestFit="1" customWidth="1"/>
  </cols>
  <sheetData>
    <row r="1" spans="1:6" ht="48" customHeight="1">
      <c r="A1" s="100" t="s">
        <v>111</v>
      </c>
      <c r="B1" s="100"/>
      <c r="C1" s="100"/>
      <c r="D1" s="100"/>
    </row>
    <row r="2" spans="1:6">
      <c r="B2" s="104" t="s">
        <v>36</v>
      </c>
      <c r="C2" s="104" t="s">
        <v>49</v>
      </c>
      <c r="D2" s="104" t="s">
        <v>108</v>
      </c>
    </row>
    <row r="3" spans="1:6" ht="17.25" customHeight="1">
      <c r="B3" s="104"/>
      <c r="C3" s="104"/>
      <c r="D3" s="104"/>
    </row>
    <row r="4" spans="1:6" ht="18.75" customHeight="1">
      <c r="A4" s="51" t="s">
        <v>0</v>
      </c>
    </row>
    <row r="5" spans="1:6" ht="18.75" customHeight="1">
      <c r="A5" s="50" t="s">
        <v>1</v>
      </c>
      <c r="B5" s="2">
        <f>240000-B46</f>
        <v>225300</v>
      </c>
      <c r="C5" s="2">
        <v>205000</v>
      </c>
      <c r="D5" s="2">
        <f>1159.33*4*50</f>
        <v>231866</v>
      </c>
      <c r="E5" t="s">
        <v>109</v>
      </c>
      <c r="F5" s="1"/>
    </row>
    <row r="6" spans="1:6" ht="18.75" customHeight="1">
      <c r="A6" s="50" t="s">
        <v>2</v>
      </c>
      <c r="B6" s="2">
        <v>0</v>
      </c>
      <c r="C6" s="2">
        <v>300</v>
      </c>
      <c r="D6" s="2">
        <v>0</v>
      </c>
    </row>
    <row r="7" spans="1:6" ht="18.75" customHeight="1">
      <c r="A7" s="50" t="s">
        <v>3</v>
      </c>
      <c r="B7" s="2">
        <v>0</v>
      </c>
      <c r="C7" s="2">
        <v>0</v>
      </c>
      <c r="D7" s="2">
        <v>0</v>
      </c>
    </row>
    <row r="8" spans="1:6" ht="18.75" customHeight="1">
      <c r="A8" s="50" t="s">
        <v>64</v>
      </c>
      <c r="B8" s="2">
        <v>0</v>
      </c>
      <c r="C8" s="2">
        <f>73.5*4*50</f>
        <v>14700</v>
      </c>
      <c r="D8" s="41">
        <f>'reserves 2020'!I11</f>
        <v>8113.2030240000013</v>
      </c>
      <c r="E8" t="s">
        <v>104</v>
      </c>
    </row>
    <row r="9" spans="1:6" ht="18.75" customHeight="1">
      <c r="A9" s="50" t="s">
        <v>85</v>
      </c>
      <c r="B9" s="2">
        <v>0</v>
      </c>
      <c r="C9" s="2">
        <v>0</v>
      </c>
      <c r="D9" s="2">
        <v>220480</v>
      </c>
      <c r="E9" t="s">
        <v>102</v>
      </c>
    </row>
    <row r="10" spans="1:6" ht="18.75" customHeight="1">
      <c r="A10" s="50" t="s">
        <v>4</v>
      </c>
      <c r="B10" s="2">
        <v>0</v>
      </c>
      <c r="C10" s="2">
        <v>20</v>
      </c>
      <c r="D10" s="2">
        <v>20</v>
      </c>
      <c r="E10" s="1"/>
    </row>
    <row r="11" spans="1:6" ht="18.75" customHeight="1" thickBot="1">
      <c r="A11" s="50" t="s">
        <v>37</v>
      </c>
      <c r="B11" s="3">
        <v>14700</v>
      </c>
      <c r="C11" s="3">
        <v>0</v>
      </c>
      <c r="D11" s="3">
        <v>0</v>
      </c>
    </row>
    <row r="12" spans="1:6" ht="18.75" customHeight="1">
      <c r="A12" s="51" t="s">
        <v>5</v>
      </c>
      <c r="B12" s="4">
        <f t="shared" ref="B12" si="0">SUM(B5:B11)</f>
        <v>240000</v>
      </c>
      <c r="C12" s="4">
        <f t="shared" ref="C12" si="1">SUM(C5:C11)</f>
        <v>220020</v>
      </c>
      <c r="D12" s="40">
        <f>SUM(D5:D11)</f>
        <v>460479.20302399999</v>
      </c>
    </row>
    <row r="13" spans="1:6" ht="18.75" customHeight="1"/>
    <row r="14" spans="1:6" ht="18.75" customHeight="1">
      <c r="A14" s="51" t="s">
        <v>6</v>
      </c>
    </row>
    <row r="15" spans="1:6" ht="18.75" customHeight="1">
      <c r="A15" s="50" t="s">
        <v>7</v>
      </c>
      <c r="B15" s="2">
        <v>12000</v>
      </c>
      <c r="C15" s="2">
        <v>7500</v>
      </c>
      <c r="D15" s="2">
        <v>7500</v>
      </c>
    </row>
    <row r="16" spans="1:6" ht="18.75" customHeight="1">
      <c r="A16" s="50" t="s">
        <v>8</v>
      </c>
      <c r="B16" s="2">
        <v>10000</v>
      </c>
      <c r="C16" s="2">
        <v>8000</v>
      </c>
      <c r="D16" s="2">
        <v>5000</v>
      </c>
    </row>
    <row r="17" spans="1:6" ht="18.75" customHeight="1">
      <c r="A17" s="50" t="s">
        <v>9</v>
      </c>
      <c r="B17" s="2">
        <v>500</v>
      </c>
      <c r="C17" s="2">
        <v>500</v>
      </c>
      <c r="D17" s="2">
        <v>500</v>
      </c>
    </row>
    <row r="18" spans="1:6" ht="18.75" customHeight="1">
      <c r="A18" s="50" t="s">
        <v>10</v>
      </c>
      <c r="B18" s="2">
        <v>1500</v>
      </c>
      <c r="C18" s="2">
        <v>300</v>
      </c>
      <c r="D18" s="2">
        <v>300</v>
      </c>
    </row>
    <row r="19" spans="1:6" ht="18.75" customHeight="1">
      <c r="A19" s="50" t="s">
        <v>50</v>
      </c>
      <c r="B19" s="2">
        <v>0</v>
      </c>
      <c r="C19" s="2">
        <v>200</v>
      </c>
      <c r="D19" s="2">
        <v>200</v>
      </c>
    </row>
    <row r="20" spans="1:6" ht="18.75" customHeight="1">
      <c r="A20" s="50" t="s">
        <v>82</v>
      </c>
      <c r="B20" s="2">
        <v>0</v>
      </c>
      <c r="C20" s="2">
        <v>32000</v>
      </c>
      <c r="D20" s="2">
        <v>20000</v>
      </c>
      <c r="E20" t="s">
        <v>103</v>
      </c>
    </row>
    <row r="21" spans="1:6" ht="18.75" customHeight="1">
      <c r="A21" s="50" t="s">
        <v>83</v>
      </c>
      <c r="B21" s="2">
        <v>0</v>
      </c>
      <c r="C21" s="2">
        <v>18000</v>
      </c>
      <c r="D21" s="2">
        <v>20000</v>
      </c>
      <c r="E21" t="s">
        <v>103</v>
      </c>
    </row>
    <row r="22" spans="1:6" ht="18.75" customHeight="1">
      <c r="A22" s="50" t="s">
        <v>84</v>
      </c>
      <c r="B22" s="2">
        <v>40000</v>
      </c>
      <c r="C22" s="2">
        <v>5000</v>
      </c>
      <c r="D22" s="2">
        <v>220480</v>
      </c>
      <c r="F22">
        <f>1200000/60</f>
        <v>20000</v>
      </c>
    </row>
    <row r="23" spans="1:6" ht="18.75" customHeight="1">
      <c r="A23" s="50" t="s">
        <v>11</v>
      </c>
      <c r="B23" s="2">
        <v>100</v>
      </c>
      <c r="C23" s="2">
        <v>30</v>
      </c>
      <c r="D23" s="2">
        <v>30</v>
      </c>
    </row>
    <row r="24" spans="1:6" ht="18.75" customHeight="1">
      <c r="A24" s="50" t="s">
        <v>12</v>
      </c>
      <c r="B24" s="2">
        <v>1000</v>
      </c>
      <c r="C24" s="2">
        <v>1800</v>
      </c>
      <c r="D24" s="2">
        <v>2000</v>
      </c>
    </row>
    <row r="25" spans="1:6" ht="18.75" customHeight="1">
      <c r="A25" s="50" t="s">
        <v>13</v>
      </c>
      <c r="B25" s="2">
        <v>87400</v>
      </c>
      <c r="C25" s="2">
        <v>80000</v>
      </c>
      <c r="D25" s="2">
        <v>88000</v>
      </c>
    </row>
    <row r="26" spans="1:6" ht="18.75" customHeight="1">
      <c r="A26" s="50" t="s">
        <v>14</v>
      </c>
      <c r="B26" s="2">
        <v>5000</v>
      </c>
      <c r="C26" s="2">
        <v>5000</v>
      </c>
      <c r="D26" s="2">
        <v>5000</v>
      </c>
    </row>
    <row r="27" spans="1:6" ht="18.75" customHeight="1">
      <c r="A27" s="50" t="s">
        <v>15</v>
      </c>
      <c r="B27" s="2">
        <v>1300</v>
      </c>
      <c r="C27" s="2">
        <v>0</v>
      </c>
      <c r="D27" s="2">
        <v>0</v>
      </c>
    </row>
    <row r="28" spans="1:6" ht="18.75" customHeight="1">
      <c r="A28" s="50" t="s">
        <v>52</v>
      </c>
      <c r="B28" s="2">
        <v>1000</v>
      </c>
      <c r="C28" s="2">
        <v>500</v>
      </c>
      <c r="D28" s="2">
        <v>500</v>
      </c>
    </row>
    <row r="29" spans="1:6" ht="18.75" customHeight="1">
      <c r="A29" s="50" t="s">
        <v>17</v>
      </c>
      <c r="B29" s="2">
        <v>21000</v>
      </c>
      <c r="C29" s="2">
        <v>18000</v>
      </c>
      <c r="D29" s="2">
        <v>20000</v>
      </c>
    </row>
    <row r="30" spans="1:6" ht="18.75" customHeight="1">
      <c r="A30" s="50" t="s">
        <v>18</v>
      </c>
      <c r="B30" s="2">
        <v>4000</v>
      </c>
      <c r="C30" s="2">
        <v>0</v>
      </c>
      <c r="D30" s="2">
        <v>5000</v>
      </c>
    </row>
    <row r="31" spans="1:6" ht="18.75" customHeight="1">
      <c r="A31" s="50" t="s">
        <v>19</v>
      </c>
      <c r="B31" s="2">
        <v>5000</v>
      </c>
      <c r="C31" s="2">
        <v>400</v>
      </c>
      <c r="D31" s="2">
        <v>1000</v>
      </c>
    </row>
    <row r="32" spans="1:6" ht="18.75" customHeight="1" thickBot="1">
      <c r="A32" s="50" t="s">
        <v>20</v>
      </c>
      <c r="B32" s="3">
        <v>10000</v>
      </c>
      <c r="C32" s="3">
        <v>6800</v>
      </c>
      <c r="D32" s="3">
        <v>7500</v>
      </c>
    </row>
    <row r="33" spans="1:9" ht="18.75" customHeight="1">
      <c r="A33" s="51" t="s">
        <v>21</v>
      </c>
      <c r="B33" s="4">
        <f>SUM(B15:B32)</f>
        <v>199800</v>
      </c>
      <c r="C33" s="4">
        <f>SUM(C15:C32)</f>
        <v>184030</v>
      </c>
      <c r="D33" s="4">
        <f>SUM(D15:D32)</f>
        <v>403010</v>
      </c>
    </row>
    <row r="34" spans="1:9" ht="18.75" customHeight="1"/>
    <row r="35" spans="1:9" ht="18.75" customHeight="1">
      <c r="A35" s="51" t="s">
        <v>22</v>
      </c>
    </row>
    <row r="36" spans="1:9" ht="18.75" customHeight="1">
      <c r="A36" s="50" t="s">
        <v>23</v>
      </c>
      <c r="B36" s="2">
        <v>1000</v>
      </c>
      <c r="C36" s="2">
        <v>0</v>
      </c>
      <c r="D36" s="48">
        <v>11566</v>
      </c>
      <c r="E36" s="49" t="s">
        <v>112</v>
      </c>
    </row>
    <row r="37" spans="1:9" ht="18.75" customHeight="1">
      <c r="A37" s="50" t="s">
        <v>24</v>
      </c>
      <c r="B37" s="2">
        <v>3500</v>
      </c>
      <c r="C37" s="2">
        <v>12000</v>
      </c>
      <c r="D37" s="2">
        <v>12000</v>
      </c>
      <c r="E37" t="s">
        <v>105</v>
      </c>
    </row>
    <row r="38" spans="1:9" ht="18.75" customHeight="1">
      <c r="A38" s="50" t="s">
        <v>25</v>
      </c>
      <c r="B38" s="2">
        <v>5000</v>
      </c>
      <c r="C38" s="2">
        <v>4000</v>
      </c>
      <c r="D38" s="2">
        <v>4190</v>
      </c>
    </row>
    <row r="39" spans="1:9" ht="18.75" customHeight="1">
      <c r="A39" s="50" t="s">
        <v>26</v>
      </c>
      <c r="B39" s="2">
        <v>0</v>
      </c>
      <c r="C39" s="2">
        <v>1600</v>
      </c>
      <c r="D39" s="2">
        <v>1600</v>
      </c>
    </row>
    <row r="40" spans="1:9" ht="18.75" customHeight="1">
      <c r="A40" s="50" t="s">
        <v>51</v>
      </c>
      <c r="B40" s="2">
        <v>0</v>
      </c>
      <c r="C40" s="2">
        <v>200</v>
      </c>
      <c r="D40" s="2">
        <v>500</v>
      </c>
    </row>
    <row r="41" spans="1:9" ht="18.75" customHeight="1">
      <c r="A41" s="50" t="s">
        <v>27</v>
      </c>
      <c r="B41" s="2">
        <v>6000</v>
      </c>
      <c r="C41" s="2">
        <v>4400</v>
      </c>
      <c r="D41" s="2">
        <v>5000</v>
      </c>
    </row>
    <row r="42" spans="1:9" ht="18.75" customHeight="1">
      <c r="A42" s="50" t="s">
        <v>28</v>
      </c>
      <c r="B42" s="2">
        <v>5000</v>
      </c>
      <c r="C42" s="2">
        <v>3500</v>
      </c>
      <c r="D42" s="2">
        <v>3500</v>
      </c>
    </row>
    <row r="43" spans="1:9" ht="18.75" customHeight="1" thickBot="1">
      <c r="A43" s="50" t="s">
        <v>29</v>
      </c>
      <c r="B43" s="3">
        <v>5000</v>
      </c>
      <c r="C43" s="3">
        <v>9500</v>
      </c>
      <c r="D43" s="3">
        <v>11000</v>
      </c>
      <c r="I43">
        <f>1159.33*50*4</f>
        <v>231866</v>
      </c>
    </row>
    <row r="44" spans="1:9" ht="18.75" customHeight="1">
      <c r="A44" s="51" t="s">
        <v>30</v>
      </c>
      <c r="B44" s="4">
        <f t="shared" ref="B44" si="2">SUM(B36:B43)</f>
        <v>25500</v>
      </c>
      <c r="C44" s="4">
        <f t="shared" ref="C44:D44" si="3">SUM(C36:C43)</f>
        <v>35200</v>
      </c>
      <c r="D44" s="4">
        <f t="shared" si="3"/>
        <v>49356</v>
      </c>
    </row>
    <row r="45" spans="1:9" ht="18.75" customHeight="1"/>
    <row r="46" spans="1:9" ht="18.75" customHeight="1">
      <c r="A46" s="51" t="s">
        <v>31</v>
      </c>
      <c r="B46" s="4">
        <v>14700</v>
      </c>
      <c r="C46" s="4">
        <v>14700</v>
      </c>
      <c r="D46" s="40">
        <f>'reserves 2020'!I11</f>
        <v>8113.2030240000013</v>
      </c>
      <c r="E46" t="s">
        <v>104</v>
      </c>
      <c r="F46" s="1"/>
    </row>
    <row r="47" spans="1:9" ht="18.75" customHeight="1" thickBot="1">
      <c r="B47" s="3"/>
      <c r="C47" s="3"/>
      <c r="D47" s="3"/>
      <c r="F47" s="1"/>
      <c r="G47" s="1"/>
    </row>
    <row r="48" spans="1:9" ht="18.75" customHeight="1">
      <c r="A48" s="51" t="s">
        <v>33</v>
      </c>
      <c r="B48" s="4">
        <f t="shared" ref="B48" si="4">SUM(B33+B44+B46)</f>
        <v>240000</v>
      </c>
      <c r="C48" s="4">
        <f t="shared" ref="C48:D48" si="5">SUM(C33+C44+C46)</f>
        <v>233930</v>
      </c>
      <c r="D48" s="40">
        <f t="shared" si="5"/>
        <v>460479.20302399999</v>
      </c>
      <c r="F48" s="1"/>
    </row>
    <row r="49" spans="1:6" ht="18.75" customHeight="1" thickBot="1">
      <c r="F49">
        <f>1200-40.67</f>
        <v>1159.33</v>
      </c>
    </row>
    <row r="50" spans="1:6">
      <c r="A50" s="105" t="s">
        <v>113</v>
      </c>
      <c r="B50" s="106"/>
      <c r="C50" s="106"/>
      <c r="D50" s="107"/>
    </row>
    <row r="51" spans="1:6">
      <c r="A51" s="108"/>
      <c r="B51" s="100"/>
      <c r="C51" s="100"/>
      <c r="D51" s="109"/>
    </row>
    <row r="52" spans="1:6" ht="15" thickBot="1">
      <c r="A52" s="110"/>
      <c r="B52" s="111"/>
      <c r="C52" s="111"/>
      <c r="D52" s="112"/>
    </row>
    <row r="53" spans="1:6" ht="15" thickBot="1"/>
    <row r="54" spans="1:6">
      <c r="A54" s="113" t="s">
        <v>114</v>
      </c>
      <c r="B54" s="114"/>
      <c r="C54" s="114"/>
      <c r="D54" s="115"/>
    </row>
    <row r="55" spans="1:6">
      <c r="A55" s="116"/>
      <c r="B55" s="117"/>
      <c r="C55" s="117"/>
      <c r="D55" s="118"/>
    </row>
    <row r="56" spans="1:6">
      <c r="A56" s="116"/>
      <c r="B56" s="117"/>
      <c r="C56" s="117"/>
      <c r="D56" s="118"/>
    </row>
    <row r="57" spans="1:6" ht="15" thickBot="1">
      <c r="A57" s="119"/>
      <c r="B57" s="120"/>
      <c r="C57" s="120"/>
      <c r="D57" s="121"/>
    </row>
  </sheetData>
  <mergeCells count="6">
    <mergeCell ref="A54:D57"/>
    <mergeCell ref="A1:D1"/>
    <mergeCell ref="B2:B3"/>
    <mergeCell ref="C2:C3"/>
    <mergeCell ref="D2:D3"/>
    <mergeCell ref="A50:D52"/>
  </mergeCells>
  <pageMargins left="0.25" right="0.25" top="0.75" bottom="0.75" header="0.3" footer="0.3"/>
  <pageSetup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52CEA-E11E-4A48-AC42-B8ACEE962FF2}">
  <dimension ref="A1:J12"/>
  <sheetViews>
    <sheetView zoomScaleNormal="100" workbookViewId="0">
      <pane xSplit="1" ySplit="1" topLeftCell="B4" activePane="bottomRight" state="frozen"/>
      <selection pane="topRight" activeCell="B1" sqref="B1"/>
      <selection pane="bottomLeft" activeCell="A2" sqref="A2"/>
      <selection pane="bottomRight" activeCell="G4" sqref="G4"/>
    </sheetView>
  </sheetViews>
  <sheetFormatPr defaultColWidth="8.77734375" defaultRowHeight="14.4"/>
  <cols>
    <col min="1" max="1" width="14.21875" customWidth="1"/>
    <col min="2" max="2" width="15.5546875" bestFit="1" customWidth="1"/>
    <col min="3" max="3" width="11" customWidth="1"/>
    <col min="4" max="4" width="16.44140625" bestFit="1" customWidth="1"/>
    <col min="5" max="5" width="18.44140625" customWidth="1"/>
    <col min="6" max="6" width="13.77734375" customWidth="1"/>
    <col min="7" max="7" width="13" bestFit="1" customWidth="1"/>
    <col min="8" max="8" width="12.5546875" bestFit="1" customWidth="1"/>
    <col min="9" max="9" width="12.5546875" customWidth="1"/>
    <col min="10" max="10" width="16" customWidth="1"/>
  </cols>
  <sheetData>
    <row r="1" spans="1:10" ht="72">
      <c r="A1" s="30" t="s">
        <v>86</v>
      </c>
      <c r="B1" s="30" t="s">
        <v>87</v>
      </c>
      <c r="C1" s="30" t="s">
        <v>88</v>
      </c>
      <c r="D1" s="30" t="s">
        <v>89</v>
      </c>
      <c r="E1" s="30" t="s">
        <v>90</v>
      </c>
      <c r="F1" s="30" t="s">
        <v>91</v>
      </c>
      <c r="G1" s="30" t="s">
        <v>92</v>
      </c>
      <c r="H1" s="30" t="s">
        <v>93</v>
      </c>
      <c r="I1" s="30" t="s">
        <v>94</v>
      </c>
      <c r="J1" s="30" t="s">
        <v>95</v>
      </c>
    </row>
    <row r="2" spans="1:10" ht="41.25" hidden="1" customHeight="1">
      <c r="A2" s="31" t="s">
        <v>96</v>
      </c>
      <c r="B2" s="32">
        <v>848000</v>
      </c>
      <c r="C2" s="33">
        <v>5.1999999999999998E-2</v>
      </c>
      <c r="D2" s="32">
        <f>B2*C2*10</f>
        <v>440960</v>
      </c>
      <c r="E2" s="32">
        <f>B2+D2</f>
        <v>1288960</v>
      </c>
      <c r="F2" s="32">
        <f>SUM(E2/50/10)</f>
        <v>2577.92</v>
      </c>
      <c r="G2" s="32">
        <f>F2/12</f>
        <v>214.82666666666668</v>
      </c>
      <c r="H2" s="32">
        <f>F2/4</f>
        <v>644.48</v>
      </c>
      <c r="I2" s="32">
        <f>SUM(F2/2)</f>
        <v>1288.96</v>
      </c>
      <c r="J2" s="31"/>
    </row>
    <row r="3" spans="1:10" ht="41.25" hidden="1" customHeight="1">
      <c r="A3" s="31" t="s">
        <v>97</v>
      </c>
      <c r="B3" s="32">
        <v>848000</v>
      </c>
      <c r="C3" s="33">
        <v>5.1999999999999998E-2</v>
      </c>
      <c r="D3" s="32">
        <f>B3*C3*7</f>
        <v>308672</v>
      </c>
      <c r="E3" s="32">
        <f>B3+D3</f>
        <v>1156672</v>
      </c>
      <c r="F3" s="32">
        <f>SUM(E3/50/7)</f>
        <v>3304.7771428571427</v>
      </c>
      <c r="G3" s="32">
        <f>F3/12</f>
        <v>275.39809523809521</v>
      </c>
      <c r="H3" s="32">
        <f>F3/4</f>
        <v>826.19428571428568</v>
      </c>
      <c r="I3" s="32">
        <f>SUM(F3/2)</f>
        <v>1652.3885714285714</v>
      </c>
      <c r="J3" s="32">
        <f>SUM(D2-D3)</f>
        <v>132288</v>
      </c>
    </row>
    <row r="4" spans="1:10" ht="41.25" customHeight="1">
      <c r="A4" s="45" t="s">
        <v>98</v>
      </c>
      <c r="B4" s="46">
        <v>848000</v>
      </c>
      <c r="C4" s="47">
        <v>5.1999999999999998E-2</v>
      </c>
      <c r="D4" s="46">
        <f>B4*C4*5</f>
        <v>220480</v>
      </c>
      <c r="E4" s="46">
        <f>B4+D4</f>
        <v>1068480</v>
      </c>
      <c r="F4" s="46">
        <f>E4/50/5</f>
        <v>4273.92</v>
      </c>
      <c r="G4" s="46">
        <f>F4/12</f>
        <v>356.16</v>
      </c>
      <c r="H4" s="46">
        <f>F4/4</f>
        <v>1068.48</v>
      </c>
      <c r="I4" s="46">
        <f>SUM(F4/2)</f>
        <v>2136.96</v>
      </c>
      <c r="J4" s="46">
        <f>SUM(D2-D4)</f>
        <v>220480</v>
      </c>
    </row>
    <row r="5" spans="1:10" ht="41.25" customHeight="1">
      <c r="A5" s="31" t="s">
        <v>99</v>
      </c>
      <c r="B5" s="32">
        <v>848000</v>
      </c>
      <c r="C5" s="33">
        <v>5.1999999999999998E-2</v>
      </c>
      <c r="D5" s="32">
        <f>B5*C5*4</f>
        <v>176384</v>
      </c>
      <c r="E5" s="32">
        <f>B5+D5</f>
        <v>1024384</v>
      </c>
      <c r="F5" s="32">
        <f>SUM(E5/50/4)</f>
        <v>5121.92</v>
      </c>
      <c r="G5" s="32">
        <f>SUM(F5/12)</f>
        <v>426.82666666666665</v>
      </c>
      <c r="H5" s="32">
        <f>F5/4</f>
        <v>1280.48</v>
      </c>
      <c r="I5" s="32">
        <f>F5/2</f>
        <v>2560.96</v>
      </c>
      <c r="J5" s="32">
        <f>SUM(D2-D5)</f>
        <v>264576</v>
      </c>
    </row>
    <row r="6" spans="1:10" ht="41.25" customHeight="1">
      <c r="A6" s="31" t="s">
        <v>100</v>
      </c>
      <c r="B6" s="32">
        <v>848000</v>
      </c>
      <c r="C6" s="33">
        <v>5.1999999999999998E-2</v>
      </c>
      <c r="D6" s="32">
        <f>B6*C6*3</f>
        <v>132288</v>
      </c>
      <c r="E6" s="32">
        <f>B6+D6</f>
        <v>980288</v>
      </c>
      <c r="F6" s="32">
        <f>E6/50/3</f>
        <v>6535.2533333333331</v>
      </c>
      <c r="G6" s="32">
        <f>F6/12</f>
        <v>544.60444444444443</v>
      </c>
      <c r="H6" s="32">
        <f>F6/4</f>
        <v>1633.8133333333333</v>
      </c>
      <c r="I6" s="32">
        <f>SUM(F6/2)</f>
        <v>3267.6266666666666</v>
      </c>
      <c r="J6" s="32">
        <f>SUM(D2-D6)</f>
        <v>308672</v>
      </c>
    </row>
    <row r="7" spans="1:10" ht="31.5" customHeight="1">
      <c r="A7" s="122" t="s">
        <v>101</v>
      </c>
      <c r="B7" s="122"/>
      <c r="C7" s="122"/>
      <c r="D7" s="122"/>
      <c r="E7" s="122"/>
      <c r="F7" s="122"/>
      <c r="G7" s="122"/>
      <c r="H7" s="122"/>
      <c r="I7" s="122"/>
      <c r="J7" s="122"/>
    </row>
    <row r="8" spans="1:10" ht="9" customHeight="1">
      <c r="A8" s="100"/>
      <c r="B8" s="100"/>
      <c r="C8" s="100"/>
      <c r="D8" s="100"/>
      <c r="E8" s="100"/>
      <c r="F8" s="100"/>
      <c r="G8" s="100"/>
      <c r="H8" s="100"/>
      <c r="I8" s="100"/>
      <c r="J8" s="100"/>
    </row>
    <row r="9" spans="1:10" ht="31.5" customHeight="1">
      <c r="A9" s="100"/>
      <c r="B9" s="100"/>
      <c r="C9" s="100"/>
      <c r="D9" s="100"/>
      <c r="E9" s="100"/>
      <c r="F9" s="100"/>
      <c r="G9" s="100"/>
      <c r="H9" s="100"/>
      <c r="I9" s="100"/>
      <c r="J9" s="100"/>
    </row>
    <row r="10" spans="1:10" ht="75.75" customHeight="1">
      <c r="A10" s="100"/>
      <c r="B10" s="100"/>
      <c r="C10" s="100"/>
      <c r="D10" s="100"/>
      <c r="E10" s="100"/>
      <c r="F10" s="100"/>
      <c r="G10" s="100"/>
      <c r="H10" s="100"/>
      <c r="I10" s="100"/>
      <c r="J10" s="100"/>
    </row>
    <row r="11" spans="1:10" ht="31.5" customHeight="1">
      <c r="A11" s="34"/>
      <c r="B11" s="34"/>
      <c r="C11" s="34"/>
      <c r="D11" s="34"/>
      <c r="E11" s="34"/>
      <c r="F11" s="34"/>
      <c r="G11" s="34"/>
      <c r="H11" s="34"/>
      <c r="I11" s="34"/>
      <c r="J11" s="34"/>
    </row>
    <row r="12" spans="1:10" ht="31.5" customHeight="1">
      <c r="A12" s="34"/>
      <c r="B12" s="34"/>
      <c r="C12" s="34"/>
      <c r="D12" s="34"/>
      <c r="E12" s="34"/>
      <c r="F12" s="34"/>
      <c r="G12" s="34"/>
      <c r="H12" s="34"/>
      <c r="I12" s="34"/>
      <c r="J12" s="34"/>
    </row>
  </sheetData>
  <mergeCells count="1">
    <mergeCell ref="A7:J10"/>
  </mergeCells>
  <pageMargins left="0.7" right="0.7" top="0.75" bottom="0.75" header="0.3" footer="0.3"/>
  <pageSetup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77BA-547A-47A6-95DB-FF067F96DB40}">
  <dimension ref="A1:L23"/>
  <sheetViews>
    <sheetView view="pageBreakPreview" topLeftCell="C1" zoomScale="77" zoomScaleNormal="100" zoomScaleSheetLayoutView="77" workbookViewId="0">
      <selection activeCell="J24" sqref="J24"/>
    </sheetView>
  </sheetViews>
  <sheetFormatPr defaultColWidth="9" defaultRowHeight="23.4"/>
  <cols>
    <col min="1" max="1" width="21.77734375" style="6" bestFit="1" customWidth="1"/>
    <col min="2" max="2" width="19.21875" style="6" bestFit="1" customWidth="1"/>
    <col min="3" max="3" width="24.44140625" style="6" bestFit="1" customWidth="1"/>
    <col min="4" max="4" width="27" style="6" bestFit="1" customWidth="1"/>
    <col min="5" max="5" width="21.5546875" style="6" bestFit="1" customWidth="1"/>
    <col min="6" max="6" width="19.44140625" style="6" bestFit="1" customWidth="1"/>
    <col min="7" max="7" width="25.5546875" style="6" bestFit="1" customWidth="1"/>
    <col min="8" max="8" width="30.5546875" style="6" bestFit="1" customWidth="1"/>
    <col min="9" max="9" width="34" style="6" bestFit="1" customWidth="1"/>
    <col min="10" max="10" width="28.21875" style="6" customWidth="1"/>
    <col min="11" max="11" width="15.21875" style="6" bestFit="1" customWidth="1"/>
    <col min="12" max="12" width="22.44140625" style="6" customWidth="1"/>
    <col min="13" max="16384" width="9" style="6"/>
  </cols>
  <sheetData>
    <row r="1" spans="1:12" ht="37.5" customHeight="1">
      <c r="A1" s="129" t="s">
        <v>110</v>
      </c>
      <c r="B1" s="129"/>
      <c r="C1" s="129"/>
      <c r="D1" s="129"/>
      <c r="E1" s="129"/>
      <c r="F1" s="129"/>
      <c r="G1" s="129"/>
      <c r="H1" s="129"/>
    </row>
    <row r="2" spans="1:12" ht="37.5" customHeight="1" thickBot="1"/>
    <row r="3" spans="1:12" ht="37.5" customHeight="1">
      <c r="A3" s="7" t="s">
        <v>53</v>
      </c>
      <c r="B3" s="8" t="s">
        <v>54</v>
      </c>
      <c r="C3" s="8" t="s">
        <v>54</v>
      </c>
      <c r="D3" s="8" t="s">
        <v>55</v>
      </c>
      <c r="E3" s="9" t="s">
        <v>56</v>
      </c>
      <c r="F3" s="8" t="s">
        <v>57</v>
      </c>
      <c r="G3" s="8" t="s">
        <v>58</v>
      </c>
      <c r="H3" s="10" t="s">
        <v>59</v>
      </c>
      <c r="I3" s="10" t="s">
        <v>59</v>
      </c>
      <c r="K3" s="11"/>
      <c r="L3" s="12"/>
    </row>
    <row r="4" spans="1:12" ht="37.5" customHeight="1">
      <c r="A4" s="13"/>
      <c r="B4" s="14" t="s">
        <v>60</v>
      </c>
      <c r="C4" s="14" t="s">
        <v>61</v>
      </c>
      <c r="D4" s="14" t="s">
        <v>62</v>
      </c>
      <c r="E4" s="15" t="s">
        <v>63</v>
      </c>
      <c r="F4" s="14" t="s">
        <v>64</v>
      </c>
      <c r="G4" s="14" t="s">
        <v>59</v>
      </c>
      <c r="H4" s="16" t="s">
        <v>116</v>
      </c>
      <c r="I4" s="16" t="s">
        <v>115</v>
      </c>
      <c r="K4" s="11"/>
      <c r="L4" s="12"/>
    </row>
    <row r="5" spans="1:12" ht="37.5" customHeight="1">
      <c r="A5" s="13"/>
      <c r="B5" s="14"/>
      <c r="C5" s="14"/>
      <c r="D5" s="14"/>
      <c r="E5" s="15" t="s">
        <v>65</v>
      </c>
      <c r="F5" s="17">
        <v>43830</v>
      </c>
      <c r="G5" s="14" t="s">
        <v>66</v>
      </c>
      <c r="H5" s="16" t="s">
        <v>67</v>
      </c>
      <c r="I5" s="16" t="s">
        <v>68</v>
      </c>
      <c r="K5" s="11"/>
      <c r="L5" s="12"/>
    </row>
    <row r="6" spans="1:12" ht="37.5" customHeight="1">
      <c r="A6" s="13" t="s">
        <v>69</v>
      </c>
      <c r="B6" s="18">
        <v>20</v>
      </c>
      <c r="C6" s="19">
        <v>1500000</v>
      </c>
      <c r="D6" s="18">
        <v>30</v>
      </c>
      <c r="E6" s="20">
        <v>0.2</v>
      </c>
      <c r="F6" s="21">
        <f>F11/5</f>
        <v>8400</v>
      </c>
      <c r="G6" s="21">
        <f>SUM(C6-F6)</f>
        <v>1491600</v>
      </c>
      <c r="H6" s="22">
        <f>SUM(G6/30)</f>
        <v>49720</v>
      </c>
      <c r="I6" s="23">
        <f>SUM(H6*0.048)</f>
        <v>2386.56</v>
      </c>
      <c r="K6" s="11"/>
      <c r="L6" s="12"/>
    </row>
    <row r="7" spans="1:12" ht="37.5" customHeight="1">
      <c r="A7" s="13" t="s">
        <v>70</v>
      </c>
      <c r="B7" s="18">
        <v>30</v>
      </c>
      <c r="C7" s="21">
        <v>800000</v>
      </c>
      <c r="D7" s="18">
        <v>30</v>
      </c>
      <c r="E7" s="20">
        <v>0.2</v>
      </c>
      <c r="F7" s="21">
        <v>8889.8739999999998</v>
      </c>
      <c r="G7" s="21">
        <f t="shared" ref="G7:G10" si="0">SUM(C7-F7)</f>
        <v>791110.12600000005</v>
      </c>
      <c r="H7" s="22">
        <f t="shared" ref="H7:H10" si="1">SUM(G7/8)</f>
        <v>98888.765750000006</v>
      </c>
      <c r="I7" s="23">
        <f>H7*0.048</f>
        <v>4746.6607560000002</v>
      </c>
      <c r="K7" s="11"/>
      <c r="L7" s="12"/>
    </row>
    <row r="8" spans="1:12" ht="37.5" customHeight="1">
      <c r="A8" s="13" t="s">
        <v>71</v>
      </c>
      <c r="B8" s="18">
        <v>8</v>
      </c>
      <c r="C8" s="21">
        <v>20000</v>
      </c>
      <c r="D8" s="18">
        <v>1</v>
      </c>
      <c r="E8" s="20">
        <v>0.2</v>
      </c>
      <c r="F8" s="21">
        <v>8889.8739999999998</v>
      </c>
      <c r="G8" s="21">
        <f t="shared" si="0"/>
        <v>11110.126</v>
      </c>
      <c r="H8" s="22">
        <f t="shared" si="1"/>
        <v>1388.76575</v>
      </c>
      <c r="I8" s="23">
        <f>SUM(H8*0.048)</f>
        <v>66.660756000000006</v>
      </c>
      <c r="K8" s="11"/>
      <c r="L8" s="12"/>
    </row>
    <row r="9" spans="1:12" ht="37.5" customHeight="1">
      <c r="A9" s="13" t="s">
        <v>72</v>
      </c>
      <c r="B9" s="18">
        <v>40</v>
      </c>
      <c r="C9" s="21">
        <v>70000</v>
      </c>
      <c r="D9" s="18">
        <v>4</v>
      </c>
      <c r="E9" s="20">
        <v>0.2</v>
      </c>
      <c r="F9" s="21">
        <v>8889.8739999999998</v>
      </c>
      <c r="G9" s="21">
        <f t="shared" si="0"/>
        <v>61110.126000000004</v>
      </c>
      <c r="H9" s="22">
        <f t="shared" si="1"/>
        <v>7638.7657500000005</v>
      </c>
      <c r="I9" s="22">
        <f>SUM(H9*0.048)</f>
        <v>366.66075600000005</v>
      </c>
      <c r="K9" s="11"/>
      <c r="L9" s="12"/>
    </row>
    <row r="10" spans="1:12" ht="37.5" customHeight="1">
      <c r="A10" s="13" t="s">
        <v>73</v>
      </c>
      <c r="B10" s="18">
        <v>8</v>
      </c>
      <c r="C10" s="21">
        <v>100000</v>
      </c>
      <c r="D10" s="18">
        <v>8</v>
      </c>
      <c r="E10" s="20">
        <v>0.2</v>
      </c>
      <c r="F10" s="21">
        <v>8889.8739999999998</v>
      </c>
      <c r="G10" s="21">
        <f t="shared" si="0"/>
        <v>91110.126000000004</v>
      </c>
      <c r="H10" s="22">
        <f t="shared" si="1"/>
        <v>11388.76575</v>
      </c>
      <c r="I10" s="22">
        <f>SUM(H10*0.048)</f>
        <v>546.66075599999999</v>
      </c>
    </row>
    <row r="11" spans="1:12" ht="37.5" customHeight="1" thickBot="1">
      <c r="A11" s="24" t="s">
        <v>74</v>
      </c>
      <c r="B11" s="25"/>
      <c r="C11" s="26">
        <f>SUM(C6:C10)</f>
        <v>2490000</v>
      </c>
      <c r="D11" s="25"/>
      <c r="E11" s="27">
        <f>SUM(E6:E10)</f>
        <v>1</v>
      </c>
      <c r="F11" s="26">
        <v>42000</v>
      </c>
      <c r="G11" s="26">
        <f>SUM(G6:G10)</f>
        <v>2446040.5040000007</v>
      </c>
      <c r="H11" s="28">
        <f>SUM(H6:H10)</f>
        <v>169025.06299999999</v>
      </c>
      <c r="I11" s="42">
        <f>SUM(I6:I10)</f>
        <v>8113.2030240000013</v>
      </c>
    </row>
    <row r="13" spans="1:12">
      <c r="A13" s="130" t="s">
        <v>75</v>
      </c>
      <c r="B13" s="130"/>
      <c r="C13" s="130"/>
      <c r="D13" s="130" t="s">
        <v>76</v>
      </c>
      <c r="E13" s="130"/>
      <c r="F13" s="130"/>
      <c r="G13" s="130"/>
      <c r="H13" s="130"/>
      <c r="I13" s="130"/>
    </row>
    <row r="14" spans="1:12" ht="46.2">
      <c r="A14" s="131" t="s">
        <v>79</v>
      </c>
      <c r="B14" s="132" t="s">
        <v>78</v>
      </c>
      <c r="C14" s="132"/>
      <c r="D14" s="132"/>
      <c r="E14" s="133" t="s">
        <v>80</v>
      </c>
      <c r="F14" s="133"/>
      <c r="G14" s="29" t="s">
        <v>81</v>
      </c>
      <c r="H14" s="43" t="s">
        <v>106</v>
      </c>
      <c r="I14" s="29" t="s">
        <v>107</v>
      </c>
      <c r="J14" s="35"/>
    </row>
    <row r="15" spans="1:12">
      <c r="A15" s="131"/>
      <c r="B15" s="134">
        <f>'2020 budget'!F49</f>
        <v>1159.33</v>
      </c>
      <c r="C15" s="134"/>
      <c r="D15" s="134"/>
      <c r="E15" s="134">
        <f>SUM(H11/50/4)</f>
        <v>845.125315</v>
      </c>
      <c r="F15" s="134"/>
      <c r="G15" s="38">
        <f>E15+B15</f>
        <v>2004.4553149999999</v>
      </c>
      <c r="H15" s="44">
        <f>SUM(I11/50/4)</f>
        <v>40.566015120000003</v>
      </c>
      <c r="I15" s="39">
        <f>SUM(H15+B15)</f>
        <v>1199.8960151199999</v>
      </c>
      <c r="J15" s="36"/>
      <c r="K15" s="37"/>
    </row>
    <row r="16" spans="1:12" ht="24" thickBot="1"/>
    <row r="17" spans="1:10">
      <c r="A17" s="123" t="s">
        <v>77</v>
      </c>
      <c r="B17" s="124"/>
      <c r="C17" s="124"/>
      <c r="D17" s="124"/>
      <c r="E17" s="124"/>
      <c r="F17" s="124"/>
      <c r="G17" s="124"/>
      <c r="H17" s="124"/>
      <c r="I17" s="125"/>
    </row>
    <row r="18" spans="1:10" ht="24" thickBot="1">
      <c r="A18" s="126"/>
      <c r="B18" s="127"/>
      <c r="C18" s="127"/>
      <c r="D18" s="127"/>
      <c r="E18" s="127"/>
      <c r="F18" s="127"/>
      <c r="G18" s="127"/>
      <c r="H18" s="127"/>
      <c r="I18" s="128"/>
    </row>
    <row r="23" spans="1:10">
      <c r="J23" s="6">
        <f>127*4*50</f>
        <v>25400</v>
      </c>
    </row>
  </sheetData>
  <mergeCells count="9">
    <mergeCell ref="A17:I18"/>
    <mergeCell ref="A1:H1"/>
    <mergeCell ref="A13:C13"/>
    <mergeCell ref="D13:I13"/>
    <mergeCell ref="A14:A15"/>
    <mergeCell ref="B14:D14"/>
    <mergeCell ref="E14:F14"/>
    <mergeCell ref="B15:D15"/>
    <mergeCell ref="E15:F15"/>
  </mergeCells>
  <pageMargins left="0.25" right="0.25" top="0.75" bottom="0.75" header="0.3" footer="0.3"/>
  <pageSetup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A249-3BA4-9B41-B88E-01E46B9E0FE1}">
  <dimension ref="A1:I57"/>
  <sheetViews>
    <sheetView zoomScale="106" zoomScaleNormal="106" workbookViewId="0">
      <selection activeCell="D7" sqref="D7"/>
    </sheetView>
  </sheetViews>
  <sheetFormatPr defaultColWidth="8.77734375" defaultRowHeight="14.4"/>
  <cols>
    <col min="1" max="1" width="25.77734375" style="50" bestFit="1" customWidth="1"/>
    <col min="2" max="2" width="29.5546875" style="2" bestFit="1" customWidth="1"/>
    <col min="3" max="3" width="28.5546875" style="2" bestFit="1" customWidth="1"/>
    <col min="4" max="4" width="16.44140625" style="2" customWidth="1"/>
    <col min="6" max="6" width="12.21875" bestFit="1" customWidth="1"/>
  </cols>
  <sheetData>
    <row r="1" spans="1:6" ht="48" customHeight="1">
      <c r="A1" s="100" t="s">
        <v>126</v>
      </c>
      <c r="B1" s="100"/>
      <c r="C1" s="100"/>
      <c r="D1" s="100"/>
    </row>
    <row r="2" spans="1:6">
      <c r="B2" s="104" t="s">
        <v>108</v>
      </c>
      <c r="C2" s="104" t="s">
        <v>119</v>
      </c>
      <c r="D2" s="104" t="s">
        <v>125</v>
      </c>
    </row>
    <row r="3" spans="1:6" ht="17.25" customHeight="1">
      <c r="B3" s="104"/>
      <c r="C3" s="104"/>
      <c r="D3" s="104"/>
      <c r="F3">
        <v>266628</v>
      </c>
    </row>
    <row r="4" spans="1:6" ht="18.75" customHeight="1">
      <c r="A4" s="51" t="s">
        <v>0</v>
      </c>
      <c r="F4" s="1">
        <f>(F3-D8-D7-D6)/50/4</f>
        <v>1152.4083301477833</v>
      </c>
    </row>
    <row r="5" spans="1:6" ht="18.75" customHeight="1">
      <c r="A5" s="50" t="s">
        <v>1</v>
      </c>
      <c r="B5" s="2">
        <f>1159.33*4*50</f>
        <v>231866</v>
      </c>
      <c r="C5" s="2">
        <f>1159.33*50*4</f>
        <v>231866</v>
      </c>
      <c r="D5" s="2">
        <f>(D49-D6-D7-D8)</f>
        <v>240754</v>
      </c>
      <c r="E5">
        <v>1204</v>
      </c>
      <c r="F5" s="1"/>
    </row>
    <row r="6" spans="1:6" ht="18.75" customHeight="1">
      <c r="A6" s="50" t="s">
        <v>2</v>
      </c>
      <c r="B6" s="2">
        <v>0</v>
      </c>
      <c r="C6" s="2">
        <v>700</v>
      </c>
      <c r="D6" s="2">
        <v>500</v>
      </c>
    </row>
    <row r="7" spans="1:6" ht="18.75" customHeight="1">
      <c r="A7" s="50" t="s">
        <v>64</v>
      </c>
      <c r="B7" s="41">
        <f>'reserves 2020'!G11</f>
        <v>2446040.5040000007</v>
      </c>
      <c r="C7" s="2">
        <f>40.67*4*50</f>
        <v>8134</v>
      </c>
      <c r="D7" s="41">
        <f>'reserves 2021'!I11</f>
        <v>35626.333970443346</v>
      </c>
      <c r="E7" t="s">
        <v>104</v>
      </c>
    </row>
    <row r="8" spans="1:6" ht="18.75" customHeight="1" thickBot="1">
      <c r="A8" s="50" t="s">
        <v>4</v>
      </c>
      <c r="B8" s="3">
        <v>20</v>
      </c>
      <c r="C8" s="3">
        <v>31</v>
      </c>
      <c r="D8" s="3">
        <v>20</v>
      </c>
      <c r="E8" s="1"/>
    </row>
    <row r="9" spans="1:6" ht="18.75" customHeight="1">
      <c r="A9" s="51" t="s">
        <v>5</v>
      </c>
      <c r="B9" s="40">
        <f>SUM(B5:B8)</f>
        <v>2677926.5040000007</v>
      </c>
      <c r="C9" s="4">
        <f>SUM(C5:C8)</f>
        <v>240731</v>
      </c>
      <c r="D9" s="40">
        <f>SUM(D5:D8)</f>
        <v>276900.33397044335</v>
      </c>
    </row>
    <row r="10" spans="1:6" ht="18.75" customHeight="1"/>
    <row r="11" spans="1:6" ht="18.75" customHeight="1">
      <c r="A11" s="51" t="s">
        <v>6</v>
      </c>
    </row>
    <row r="12" spans="1:6" ht="18.75" customHeight="1">
      <c r="A12" s="50" t="s">
        <v>7</v>
      </c>
      <c r="B12" s="2">
        <v>7500</v>
      </c>
      <c r="C12" s="4">
        <f>3600*2</f>
        <v>7200</v>
      </c>
      <c r="D12" s="2">
        <v>7200</v>
      </c>
    </row>
    <row r="13" spans="1:6" ht="18.75" customHeight="1">
      <c r="A13" s="50" t="s">
        <v>8</v>
      </c>
      <c r="B13" s="2">
        <v>5000</v>
      </c>
      <c r="C13" s="4">
        <v>8500</v>
      </c>
      <c r="D13" s="2">
        <v>9000</v>
      </c>
    </row>
    <row r="14" spans="1:6" ht="18.75" customHeight="1">
      <c r="A14" s="50" t="s">
        <v>9</v>
      </c>
      <c r="B14" s="2">
        <v>500</v>
      </c>
      <c r="C14" s="4">
        <v>500</v>
      </c>
      <c r="D14" s="2">
        <v>520</v>
      </c>
    </row>
    <row r="15" spans="1:6" ht="18.75" customHeight="1">
      <c r="A15" s="50" t="s">
        <v>10</v>
      </c>
      <c r="B15" s="2">
        <v>300</v>
      </c>
      <c r="C15" s="4">
        <v>300</v>
      </c>
      <c r="D15" s="2">
        <v>320</v>
      </c>
    </row>
    <row r="16" spans="1:6" ht="18.75" customHeight="1">
      <c r="A16" s="50" t="s">
        <v>50</v>
      </c>
      <c r="B16" s="2">
        <v>200</v>
      </c>
      <c r="C16" s="4">
        <v>500</v>
      </c>
      <c r="D16" s="2">
        <v>300</v>
      </c>
    </row>
    <row r="17" spans="1:4" ht="18.75" customHeight="1">
      <c r="A17" s="50" t="s">
        <v>82</v>
      </c>
      <c r="B17" s="2">
        <v>20000</v>
      </c>
      <c r="C17" s="4">
        <v>13721</v>
      </c>
      <c r="D17" s="2">
        <v>0</v>
      </c>
    </row>
    <row r="18" spans="1:4" ht="18.75" customHeight="1">
      <c r="A18" s="50" t="s">
        <v>120</v>
      </c>
      <c r="B18" s="2">
        <v>0</v>
      </c>
      <c r="C18" s="4">
        <v>355500</v>
      </c>
      <c r="D18" s="2">
        <v>0</v>
      </c>
    </row>
    <row r="19" spans="1:4" ht="18.75" customHeight="1">
      <c r="A19" s="50" t="s">
        <v>83</v>
      </c>
      <c r="B19" s="2">
        <v>20000</v>
      </c>
      <c r="C19" s="2">
        <v>0</v>
      </c>
      <c r="D19" s="2">
        <v>0</v>
      </c>
    </row>
    <row r="20" spans="1:4" ht="18.75" customHeight="1">
      <c r="A20" s="50" t="s">
        <v>84</v>
      </c>
      <c r="B20" s="2">
        <v>220480</v>
      </c>
      <c r="C20" s="4">
        <v>65000</v>
      </c>
      <c r="D20" s="2">
        <v>0</v>
      </c>
    </row>
    <row r="21" spans="1:4" ht="18.75" customHeight="1">
      <c r="A21" s="50" t="s">
        <v>11</v>
      </c>
      <c r="B21" s="2">
        <v>30</v>
      </c>
      <c r="C21" s="4">
        <v>0</v>
      </c>
      <c r="D21" s="2">
        <v>0</v>
      </c>
    </row>
    <row r="22" spans="1:4" ht="18.75" customHeight="1">
      <c r="A22" s="50" t="s">
        <v>12</v>
      </c>
      <c r="B22" s="2">
        <v>2000</v>
      </c>
      <c r="C22" s="4">
        <v>2000</v>
      </c>
      <c r="D22" s="2">
        <v>2200</v>
      </c>
    </row>
    <row r="23" spans="1:4" ht="18.75" customHeight="1">
      <c r="A23" s="50" t="s">
        <v>13</v>
      </c>
      <c r="B23" s="2">
        <v>88000</v>
      </c>
      <c r="C23" s="4">
        <f>43665*2</f>
        <v>87330</v>
      </c>
      <c r="D23" s="2">
        <v>105000</v>
      </c>
    </row>
    <row r="24" spans="1:4" ht="18.75" customHeight="1">
      <c r="A24" s="50" t="s">
        <v>14</v>
      </c>
      <c r="B24" s="2">
        <v>5000</v>
      </c>
      <c r="C24" s="4">
        <v>6500</v>
      </c>
      <c r="D24" s="2">
        <v>6800</v>
      </c>
    </row>
    <row r="25" spans="1:4" ht="18.75" customHeight="1">
      <c r="A25" s="50" t="s">
        <v>121</v>
      </c>
      <c r="B25" s="2">
        <v>0</v>
      </c>
      <c r="C25" s="4">
        <v>3500</v>
      </c>
      <c r="D25" s="2">
        <v>12000</v>
      </c>
    </row>
    <row r="26" spans="1:4" ht="18.75" customHeight="1">
      <c r="A26" s="50" t="s">
        <v>123</v>
      </c>
      <c r="B26" s="2">
        <v>0</v>
      </c>
      <c r="C26" s="4">
        <v>6600</v>
      </c>
      <c r="D26" s="2">
        <v>2000</v>
      </c>
    </row>
    <row r="27" spans="1:4" ht="18.75" customHeight="1">
      <c r="A27" s="50" t="s">
        <v>124</v>
      </c>
      <c r="B27" s="2">
        <v>0</v>
      </c>
      <c r="C27" s="4">
        <v>1400</v>
      </c>
      <c r="D27" s="2">
        <v>300</v>
      </c>
    </row>
    <row r="28" spans="1:4" ht="18.75" customHeight="1">
      <c r="A28" s="50" t="s">
        <v>122</v>
      </c>
      <c r="B28" s="2">
        <v>0</v>
      </c>
      <c r="C28" s="4">
        <v>2000</v>
      </c>
      <c r="D28" s="2">
        <v>1000</v>
      </c>
    </row>
    <row r="29" spans="1:4" ht="18.75" customHeight="1">
      <c r="A29" s="50" t="s">
        <v>52</v>
      </c>
      <c r="B29" s="2">
        <v>500</v>
      </c>
      <c r="C29" s="4">
        <f>329*2</f>
        <v>658</v>
      </c>
      <c r="D29" s="2">
        <v>750</v>
      </c>
    </row>
    <row r="30" spans="1:4" ht="18.75" customHeight="1">
      <c r="A30" s="50" t="s">
        <v>17</v>
      </c>
      <c r="B30" s="2">
        <v>20000</v>
      </c>
      <c r="C30" s="4">
        <v>25000</v>
      </c>
      <c r="D30" s="2">
        <v>25000</v>
      </c>
    </row>
    <row r="31" spans="1:4" ht="18.75" customHeight="1">
      <c r="A31" s="50" t="s">
        <v>18</v>
      </c>
      <c r="B31" s="2">
        <v>5000</v>
      </c>
      <c r="C31" s="2">
        <v>0</v>
      </c>
      <c r="D31" s="2">
        <v>10000</v>
      </c>
    </row>
    <row r="32" spans="1:4" ht="18.75" customHeight="1">
      <c r="A32" s="50" t="s">
        <v>19</v>
      </c>
      <c r="B32" s="2">
        <v>1000</v>
      </c>
      <c r="C32" s="4">
        <v>650</v>
      </c>
      <c r="D32" s="2">
        <v>2500</v>
      </c>
    </row>
    <row r="33" spans="1:9" ht="18.75" customHeight="1" thickBot="1">
      <c r="A33" s="50" t="s">
        <v>20</v>
      </c>
      <c r="B33" s="3">
        <v>7500</v>
      </c>
      <c r="C33" s="52">
        <v>7500</v>
      </c>
      <c r="D33" s="3">
        <v>8000</v>
      </c>
    </row>
    <row r="34" spans="1:9" ht="18.75" customHeight="1">
      <c r="A34" s="51" t="s">
        <v>21</v>
      </c>
      <c r="B34" s="4">
        <f>SUM(B12:B33)</f>
        <v>403010</v>
      </c>
      <c r="C34" s="4">
        <f>SUM(C12:C33)</f>
        <v>594359</v>
      </c>
      <c r="D34" s="4">
        <f>SUM(D12:D33)</f>
        <v>192890</v>
      </c>
    </row>
    <row r="35" spans="1:9" ht="18.75" customHeight="1"/>
    <row r="36" spans="1:9" ht="27" customHeight="1">
      <c r="A36" s="51" t="s">
        <v>22</v>
      </c>
    </row>
    <row r="37" spans="1:9" ht="26.25" customHeight="1">
      <c r="A37" s="50" t="s">
        <v>23</v>
      </c>
      <c r="B37" s="2">
        <v>11566</v>
      </c>
      <c r="C37" s="2">
        <v>0</v>
      </c>
      <c r="D37" s="2">
        <v>5634</v>
      </c>
    </row>
    <row r="38" spans="1:9" ht="18.75" customHeight="1">
      <c r="A38" s="50" t="s">
        <v>24</v>
      </c>
      <c r="B38" s="2">
        <v>12000</v>
      </c>
      <c r="C38" s="4">
        <v>3000</v>
      </c>
      <c r="D38" s="2">
        <v>7000</v>
      </c>
    </row>
    <row r="39" spans="1:9" ht="18.75" customHeight="1">
      <c r="A39" s="50" t="s">
        <v>25</v>
      </c>
      <c r="B39" s="2">
        <v>4190</v>
      </c>
      <c r="C39" s="4">
        <v>4000</v>
      </c>
      <c r="D39" s="2">
        <v>4000</v>
      </c>
    </row>
    <row r="40" spans="1:9" ht="18.75" customHeight="1">
      <c r="A40" s="50" t="s">
        <v>26</v>
      </c>
      <c r="B40" s="2">
        <v>1600</v>
      </c>
      <c r="C40" s="4">
        <v>300</v>
      </c>
      <c r="D40" s="2">
        <v>1000</v>
      </c>
    </row>
    <row r="41" spans="1:9" ht="18.75" customHeight="1">
      <c r="A41" s="50" t="s">
        <v>51</v>
      </c>
      <c r="B41" s="2">
        <v>500</v>
      </c>
      <c r="C41" s="4">
        <v>700</v>
      </c>
      <c r="D41" s="2">
        <v>750</v>
      </c>
    </row>
    <row r="42" spans="1:9" ht="18.75" customHeight="1">
      <c r="A42" s="50" t="s">
        <v>27</v>
      </c>
      <c r="B42" s="2">
        <v>5000</v>
      </c>
      <c r="C42" s="4">
        <v>4000</v>
      </c>
      <c r="D42" s="2">
        <v>5000</v>
      </c>
    </row>
    <row r="43" spans="1:9" ht="18.75" customHeight="1">
      <c r="A43" s="50" t="s">
        <v>28</v>
      </c>
      <c r="B43" s="2">
        <v>3500</v>
      </c>
      <c r="C43" s="4">
        <v>6500</v>
      </c>
      <c r="D43" s="2">
        <v>10000</v>
      </c>
    </row>
    <row r="44" spans="1:9" ht="18.75" customHeight="1" thickBot="1">
      <c r="A44" s="50" t="s">
        <v>29</v>
      </c>
      <c r="B44" s="3">
        <v>11000</v>
      </c>
      <c r="C44" s="52">
        <v>50590</v>
      </c>
      <c r="D44" s="3">
        <v>15000</v>
      </c>
      <c r="I44">
        <f>1159.33*50*4</f>
        <v>231866</v>
      </c>
    </row>
    <row r="45" spans="1:9" ht="18.75" customHeight="1">
      <c r="A45" s="51" t="s">
        <v>30</v>
      </c>
      <c r="B45" s="4">
        <f t="shared" ref="B45" si="0">SUM(B37:B44)</f>
        <v>49356</v>
      </c>
      <c r="C45" s="4">
        <f t="shared" ref="C45:D45" si="1">SUM(C37:C44)</f>
        <v>69090</v>
      </c>
      <c r="D45" s="4">
        <f t="shared" si="1"/>
        <v>48384</v>
      </c>
    </row>
    <row r="46" spans="1:9" ht="18.75" customHeight="1"/>
    <row r="47" spans="1:9" ht="26.25" customHeight="1">
      <c r="A47" s="51" t="s">
        <v>31</v>
      </c>
      <c r="B47" s="40">
        <f>'reserves 2020'!G11</f>
        <v>2446040.5040000007</v>
      </c>
      <c r="C47" s="4">
        <v>8113</v>
      </c>
      <c r="D47" s="40">
        <f>'reserves 2021'!I11</f>
        <v>35626.333970443346</v>
      </c>
      <c r="E47" t="s">
        <v>104</v>
      </c>
      <c r="F47" s="1"/>
    </row>
    <row r="48" spans="1:9" ht="18.75" customHeight="1" thickBot="1">
      <c r="B48" s="3"/>
      <c r="C48" s="3"/>
      <c r="D48" s="3"/>
      <c r="F48" s="1"/>
      <c r="G48" s="1"/>
    </row>
    <row r="49" spans="1:6" ht="18.75" customHeight="1">
      <c r="A49" s="51" t="s">
        <v>33</v>
      </c>
      <c r="B49" s="40">
        <f t="shared" ref="B49" si="2">SUM(B34+B45+B47)</f>
        <v>2898406.5040000007</v>
      </c>
      <c r="C49" s="4">
        <f t="shared" ref="C49:D49" si="3">SUM(C34+C45+C47)</f>
        <v>671562</v>
      </c>
      <c r="D49" s="40">
        <f t="shared" si="3"/>
        <v>276900.33397044335</v>
      </c>
      <c r="F49" s="1"/>
    </row>
    <row r="50" spans="1:6" ht="18.75" customHeight="1">
      <c r="F50">
        <f>1200-40.67</f>
        <v>1159.33</v>
      </c>
    </row>
    <row r="51" spans="1:6" ht="15" thickBot="1"/>
    <row r="52" spans="1:6">
      <c r="A52" s="135" t="s">
        <v>131</v>
      </c>
      <c r="B52" s="136"/>
      <c r="C52" s="136"/>
      <c r="D52" s="137"/>
    </row>
    <row r="53" spans="1:6">
      <c r="A53" s="138"/>
      <c r="B53" s="139"/>
      <c r="C53" s="139"/>
      <c r="D53" s="140"/>
    </row>
    <row r="54" spans="1:6">
      <c r="A54" s="138"/>
      <c r="B54" s="139"/>
      <c r="C54" s="139"/>
      <c r="D54" s="140"/>
    </row>
    <row r="55" spans="1:6" ht="15" thickBot="1">
      <c r="A55" s="141"/>
      <c r="B55" s="142"/>
      <c r="C55" s="142"/>
      <c r="D55" s="143"/>
    </row>
    <row r="57" spans="1:6" ht="18.75" customHeight="1"/>
  </sheetData>
  <mergeCells count="5">
    <mergeCell ref="A52:D55"/>
    <mergeCell ref="A1:D1"/>
    <mergeCell ref="B2:B3"/>
    <mergeCell ref="C2:C3"/>
    <mergeCell ref="D2:D3"/>
  </mergeCells>
  <pageMargins left="0.25" right="0.25" top="0.75" bottom="0.75" header="0.3" footer="0.3"/>
  <pageSetup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213E-E971-1948-AB4B-954CADF9A6AA}">
  <dimension ref="A1:L24"/>
  <sheetViews>
    <sheetView view="pageBreakPreview" topLeftCell="A4" zoomScaleNormal="100" zoomScaleSheetLayoutView="100" workbookViewId="0">
      <selection activeCell="E25" sqref="E25"/>
    </sheetView>
  </sheetViews>
  <sheetFormatPr defaultColWidth="9" defaultRowHeight="23.4"/>
  <cols>
    <col min="1" max="1" width="21.77734375" style="6" bestFit="1" customWidth="1"/>
    <col min="2" max="2" width="19.21875" style="6" bestFit="1" customWidth="1"/>
    <col min="3" max="3" width="24.44140625" style="6" bestFit="1" customWidth="1"/>
    <col min="4" max="4" width="27" style="6" bestFit="1" customWidth="1"/>
    <col min="5" max="5" width="21.5546875" style="6" bestFit="1" customWidth="1"/>
    <col min="6" max="6" width="19.44140625" style="6" bestFit="1" customWidth="1"/>
    <col min="7" max="7" width="25.5546875" style="6" bestFit="1" customWidth="1"/>
    <col min="8" max="8" width="30.5546875" style="6" bestFit="1" customWidth="1"/>
    <col min="9" max="9" width="34" style="6" bestFit="1" customWidth="1"/>
    <col min="10" max="10" width="38" style="6" customWidth="1"/>
    <col min="11" max="11" width="15.21875" style="6" bestFit="1" customWidth="1"/>
    <col min="12" max="12" width="22.44140625" style="6" customWidth="1"/>
    <col min="13" max="16384" width="9" style="6"/>
  </cols>
  <sheetData>
    <row r="1" spans="1:12" ht="37.5" customHeight="1">
      <c r="A1" s="129" t="s">
        <v>117</v>
      </c>
      <c r="B1" s="129"/>
      <c r="C1" s="129"/>
      <c r="D1" s="129"/>
      <c r="E1" s="129"/>
      <c r="F1" s="129"/>
      <c r="G1" s="129"/>
      <c r="H1" s="129"/>
    </row>
    <row r="2" spans="1:12" ht="37.5" customHeight="1" thickBot="1"/>
    <row r="3" spans="1:12" ht="37.5" customHeight="1">
      <c r="A3" s="7" t="s">
        <v>53</v>
      </c>
      <c r="B3" s="8" t="s">
        <v>54</v>
      </c>
      <c r="C3" s="8" t="s">
        <v>54</v>
      </c>
      <c r="D3" s="8" t="s">
        <v>55</v>
      </c>
      <c r="E3" s="9" t="s">
        <v>56</v>
      </c>
      <c r="F3" s="8" t="s">
        <v>57</v>
      </c>
      <c r="G3" s="8" t="s">
        <v>58</v>
      </c>
      <c r="H3" s="10" t="s">
        <v>59</v>
      </c>
      <c r="I3" s="10" t="s">
        <v>59</v>
      </c>
      <c r="J3" s="11"/>
      <c r="K3" s="12"/>
    </row>
    <row r="4" spans="1:12" ht="37.5" customHeight="1">
      <c r="A4" s="13"/>
      <c r="B4" s="14" t="s">
        <v>60</v>
      </c>
      <c r="C4" s="14" t="s">
        <v>61</v>
      </c>
      <c r="D4" s="14" t="s">
        <v>62</v>
      </c>
      <c r="E4" s="15" t="s">
        <v>63</v>
      </c>
      <c r="F4" s="14" t="s">
        <v>64</v>
      </c>
      <c r="G4" s="14" t="s">
        <v>59</v>
      </c>
      <c r="H4" s="16" t="s">
        <v>118</v>
      </c>
      <c r="I4" s="16" t="s">
        <v>127</v>
      </c>
      <c r="J4" s="11" t="s">
        <v>130</v>
      </c>
      <c r="K4" s="12"/>
    </row>
    <row r="5" spans="1:12" ht="37.5" customHeight="1">
      <c r="A5" s="13"/>
      <c r="B5" s="14"/>
      <c r="C5" s="14"/>
      <c r="D5" s="14"/>
      <c r="E5" s="15" t="s">
        <v>65</v>
      </c>
      <c r="F5" s="17">
        <v>44196</v>
      </c>
      <c r="G5" s="14" t="s">
        <v>66</v>
      </c>
      <c r="H5" s="16" t="s">
        <v>67</v>
      </c>
      <c r="I5" s="16" t="s">
        <v>68</v>
      </c>
      <c r="J5" s="11"/>
      <c r="K5" s="12"/>
    </row>
    <row r="6" spans="1:12" ht="37.5" customHeight="1">
      <c r="A6" s="13" t="s">
        <v>69</v>
      </c>
      <c r="B6" s="18">
        <v>20</v>
      </c>
      <c r="C6" s="19">
        <v>1500000</v>
      </c>
      <c r="D6" s="18">
        <v>9</v>
      </c>
      <c r="E6" s="20">
        <v>0.2</v>
      </c>
      <c r="F6" s="21">
        <f>F11/5</f>
        <v>8400</v>
      </c>
      <c r="G6" s="21">
        <f>SUM(C6-F6)</f>
        <v>1491600</v>
      </c>
      <c r="H6" s="22">
        <f>SUM(G6/D6)</f>
        <v>165733.33333333334</v>
      </c>
      <c r="I6" s="23">
        <f>H6*0.15</f>
        <v>24860</v>
      </c>
      <c r="J6" s="11"/>
      <c r="K6" s="12">
        <f>H6*0.05</f>
        <v>8286.6666666666679</v>
      </c>
      <c r="L6" s="37">
        <f>H6*0.1</f>
        <v>16573.333333333336</v>
      </c>
    </row>
    <row r="7" spans="1:12" ht="37.5" customHeight="1">
      <c r="A7" s="13" t="s">
        <v>70</v>
      </c>
      <c r="B7" s="18">
        <v>30</v>
      </c>
      <c r="C7" s="21">
        <v>800000</v>
      </c>
      <c r="D7" s="18">
        <v>29</v>
      </c>
      <c r="E7" s="20">
        <v>0.2</v>
      </c>
      <c r="F7" s="21">
        <v>8889.8739999999998</v>
      </c>
      <c r="G7" s="21">
        <f t="shared" ref="G7:G10" si="0">SUM(C7-F7)</f>
        <v>791110.12600000005</v>
      </c>
      <c r="H7" s="22">
        <f>SUM(G7/29)</f>
        <v>27279.65951724138</v>
      </c>
      <c r="I7" s="23">
        <f>H7*0.15</f>
        <v>4091.948927586207</v>
      </c>
      <c r="J7" s="11"/>
      <c r="K7" s="12">
        <f>H7*0.05</f>
        <v>1363.982975862069</v>
      </c>
      <c r="L7" s="37">
        <f>H7*0.1</f>
        <v>2727.965951724138</v>
      </c>
    </row>
    <row r="8" spans="1:12" ht="37.5" customHeight="1">
      <c r="A8" s="13" t="s">
        <v>71</v>
      </c>
      <c r="B8" s="18">
        <v>8</v>
      </c>
      <c r="C8" s="21">
        <v>20000</v>
      </c>
      <c r="D8" s="18">
        <v>1</v>
      </c>
      <c r="E8" s="20">
        <v>0.2</v>
      </c>
      <c r="F8" s="21">
        <v>8889.8739999999998</v>
      </c>
      <c r="G8" s="21">
        <f t="shared" si="0"/>
        <v>11110.126</v>
      </c>
      <c r="H8" s="22">
        <f>SUM(G8/1)</f>
        <v>11110.126</v>
      </c>
      <c r="I8" s="23">
        <f>H8*0.15</f>
        <v>1666.5189</v>
      </c>
      <c r="J8" s="11"/>
      <c r="K8" s="12">
        <f>H8*0.05</f>
        <v>555.50630000000001</v>
      </c>
      <c r="L8" s="37">
        <f>H8*0.1</f>
        <v>1111.0126</v>
      </c>
    </row>
    <row r="9" spans="1:12" ht="37.5" customHeight="1">
      <c r="A9" s="13" t="s">
        <v>72</v>
      </c>
      <c r="B9" s="18">
        <v>40</v>
      </c>
      <c r="C9" s="21">
        <v>70000</v>
      </c>
      <c r="D9" s="18">
        <v>3</v>
      </c>
      <c r="E9" s="20">
        <v>0.2</v>
      </c>
      <c r="F9" s="21">
        <v>8889.8739999999998</v>
      </c>
      <c r="G9" s="21">
        <f t="shared" si="0"/>
        <v>61110.126000000004</v>
      </c>
      <c r="H9" s="22">
        <f>SUM(G9/3)</f>
        <v>20370.042000000001</v>
      </c>
      <c r="I9" s="22">
        <f>H9*0.15</f>
        <v>3055.5063</v>
      </c>
      <c r="J9" s="11"/>
      <c r="K9" s="12">
        <f>H9*0.05</f>
        <v>1018.5021000000002</v>
      </c>
      <c r="L9" s="37">
        <f>H9*0.1</f>
        <v>2037.0042000000003</v>
      </c>
    </row>
    <row r="10" spans="1:12" ht="37.5" customHeight="1">
      <c r="A10" s="13" t="s">
        <v>73</v>
      </c>
      <c r="B10" s="18">
        <v>8</v>
      </c>
      <c r="C10" s="21">
        <v>100000</v>
      </c>
      <c r="D10" s="18">
        <v>7</v>
      </c>
      <c r="E10" s="20">
        <v>0.2</v>
      </c>
      <c r="F10" s="21">
        <v>8889.8739999999998</v>
      </c>
      <c r="G10" s="21">
        <f t="shared" si="0"/>
        <v>91110.126000000004</v>
      </c>
      <c r="H10" s="22">
        <f>SUM(G10/7)</f>
        <v>13015.732285714286</v>
      </c>
      <c r="I10" s="22">
        <f>H10*0.15</f>
        <v>1952.3598428571429</v>
      </c>
      <c r="K10" s="37">
        <f>H10*0.05</f>
        <v>650.78661428571434</v>
      </c>
      <c r="L10" s="37">
        <f>SUM(H10*0.1)</f>
        <v>1301.5732285714287</v>
      </c>
    </row>
    <row r="11" spans="1:12" ht="37.5" customHeight="1" thickBot="1">
      <c r="A11" s="24" t="s">
        <v>74</v>
      </c>
      <c r="B11" s="25"/>
      <c r="C11" s="26">
        <f>SUM(C6:C10)</f>
        <v>2490000</v>
      </c>
      <c r="D11" s="25"/>
      <c r="E11" s="27">
        <f>SUM(E6:E10)</f>
        <v>1</v>
      </c>
      <c r="F11" s="26">
        <v>42000</v>
      </c>
      <c r="G11" s="26">
        <f>SUM(G6:G10)</f>
        <v>2446040.5040000007</v>
      </c>
      <c r="H11" s="28">
        <f>SUM(H6:H10)</f>
        <v>237508.89313628903</v>
      </c>
      <c r="I11" s="42">
        <f>SUM(I6:I10)</f>
        <v>35626.333970443346</v>
      </c>
      <c r="K11" s="53">
        <f>SUM(K6:K10)</f>
        <v>11875.444656814452</v>
      </c>
      <c r="L11" s="37">
        <f>SUM(L6:L10)</f>
        <v>23750.889313628904</v>
      </c>
    </row>
    <row r="12" spans="1:12">
      <c r="K12" s="6">
        <f>K11/50/4</f>
        <v>59.377223284072258</v>
      </c>
      <c r="L12" s="37">
        <f>L11/50/4</f>
        <v>118.75444656814452</v>
      </c>
    </row>
    <row r="13" spans="1:12">
      <c r="A13" s="130" t="s">
        <v>75</v>
      </c>
      <c r="B13" s="130"/>
      <c r="C13" s="130"/>
      <c r="D13" s="130" t="s">
        <v>76</v>
      </c>
      <c r="E13" s="130"/>
      <c r="F13" s="130"/>
      <c r="G13" s="130"/>
      <c r="H13" s="130"/>
      <c r="I13" s="130"/>
    </row>
    <row r="14" spans="1:12" ht="46.2">
      <c r="A14" s="131" t="s">
        <v>79</v>
      </c>
      <c r="B14" s="132" t="s">
        <v>78</v>
      </c>
      <c r="C14" s="132"/>
      <c r="D14" s="132"/>
      <c r="E14" s="133" t="s">
        <v>80</v>
      </c>
      <c r="F14" s="133"/>
      <c r="G14" s="29" t="s">
        <v>81</v>
      </c>
      <c r="H14" s="43" t="s">
        <v>128</v>
      </c>
      <c r="I14" s="29" t="s">
        <v>129</v>
      </c>
      <c r="J14" s="35"/>
    </row>
    <row r="15" spans="1:12">
      <c r="A15" s="131"/>
      <c r="B15" s="134">
        <v>1204</v>
      </c>
      <c r="C15" s="134"/>
      <c r="D15" s="134"/>
      <c r="E15" s="144">
        <f>SUM(H11/50/4)</f>
        <v>1187.5444656814452</v>
      </c>
      <c r="F15" s="144"/>
      <c r="G15" s="38">
        <f>E15+B15</f>
        <v>2391.5444656814452</v>
      </c>
      <c r="H15" s="54">
        <f>I11/4/50</f>
        <v>178.13166985221673</v>
      </c>
      <c r="I15" s="39">
        <f>SUM(H15+B15)</f>
        <v>1382.1316698522166</v>
      </c>
      <c r="J15" s="36"/>
      <c r="K15" s="37"/>
    </row>
    <row r="16" spans="1:12" ht="24" thickBot="1"/>
    <row r="17" spans="1:11">
      <c r="A17" s="123" t="s">
        <v>77</v>
      </c>
      <c r="B17" s="124"/>
      <c r="C17" s="124"/>
      <c r="D17" s="124"/>
      <c r="E17" s="124"/>
      <c r="F17" s="124"/>
      <c r="G17" s="124"/>
      <c r="H17" s="124"/>
      <c r="I17" s="125"/>
    </row>
    <row r="18" spans="1:11" ht="24" thickBot="1">
      <c r="A18" s="126"/>
      <c r="B18" s="127"/>
      <c r="C18" s="127"/>
      <c r="D18" s="127"/>
      <c r="E18" s="127"/>
      <c r="F18" s="127"/>
      <c r="G18" s="127"/>
      <c r="H18" s="127"/>
      <c r="I18" s="128"/>
    </row>
    <row r="20" spans="1:11">
      <c r="K20" s="37">
        <f>I11/4</f>
        <v>8906.5834926108364</v>
      </c>
    </row>
    <row r="21" spans="1:11">
      <c r="G21" s="37">
        <f>B15+J15</f>
        <v>1204</v>
      </c>
    </row>
    <row r="24" spans="1:11">
      <c r="E24" s="6">
        <f>1204+178</f>
        <v>1382</v>
      </c>
    </row>
  </sheetData>
  <mergeCells count="9">
    <mergeCell ref="A17:I18"/>
    <mergeCell ref="A1:H1"/>
    <mergeCell ref="A13:C13"/>
    <mergeCell ref="D13:I13"/>
    <mergeCell ref="A14:A15"/>
    <mergeCell ref="B14:D14"/>
    <mergeCell ref="E14:F14"/>
    <mergeCell ref="B15:D15"/>
    <mergeCell ref="E15:F15"/>
  </mergeCells>
  <pageMargins left="0.25" right="0.25"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9C7B8-A60A-4AE3-92D5-23B3AD15459F}">
  <dimension ref="A1:N55"/>
  <sheetViews>
    <sheetView topLeftCell="A38" zoomScale="136" zoomScaleNormal="136" workbookViewId="0">
      <selection activeCell="B5" sqref="B5"/>
    </sheetView>
  </sheetViews>
  <sheetFormatPr defaultColWidth="8.77734375" defaultRowHeight="14.4"/>
  <cols>
    <col min="1" max="1" width="25.77734375" style="50" bestFit="1" customWidth="1"/>
    <col min="2" max="2" width="29.5546875" style="2" bestFit="1" customWidth="1"/>
    <col min="3" max="3" width="28.5546875" style="2" bestFit="1" customWidth="1"/>
    <col min="4" max="4" width="16.44140625" style="2" customWidth="1"/>
    <col min="5" max="5" width="9.21875" bestFit="1" customWidth="1"/>
    <col min="6" max="6" width="12.21875" bestFit="1" customWidth="1"/>
    <col min="9" max="9" width="9.5546875" bestFit="1" customWidth="1"/>
    <col min="11" max="11" width="10.21875" bestFit="1" customWidth="1"/>
  </cols>
  <sheetData>
    <row r="1" spans="1:13" ht="48" customHeight="1">
      <c r="A1" s="100" t="s">
        <v>190</v>
      </c>
      <c r="B1" s="100"/>
      <c r="C1" s="100"/>
      <c r="D1" s="100"/>
    </row>
    <row r="2" spans="1:13">
      <c r="B2" s="104" t="s">
        <v>132</v>
      </c>
      <c r="C2" s="104" t="s">
        <v>133</v>
      </c>
      <c r="D2" s="104" t="s">
        <v>189</v>
      </c>
    </row>
    <row r="3" spans="1:13" ht="17.25" customHeight="1">
      <c r="B3" s="104"/>
      <c r="C3" s="104"/>
      <c r="D3" s="104"/>
      <c r="F3">
        <v>266628</v>
      </c>
    </row>
    <row r="4" spans="1:13" ht="18.75" customHeight="1">
      <c r="A4" s="51" t="s">
        <v>0</v>
      </c>
      <c r="F4" s="1">
        <f>(F3-D9-D7-D6)/50/4</f>
        <v>1257.2512479474549</v>
      </c>
    </row>
    <row r="5" spans="1:13" ht="18.75" customHeight="1">
      <c r="A5" s="50" t="s">
        <v>1</v>
      </c>
      <c r="B5" s="2">
        <v>240754</v>
      </c>
      <c r="C5" s="2">
        <f>1207*4*50</f>
        <v>241400</v>
      </c>
      <c r="D5" s="2">
        <f>1160*50*4</f>
        <v>232000</v>
      </c>
      <c r="E5" s="1">
        <f>(D5-D8)/50/4</f>
        <v>775.52</v>
      </c>
      <c r="F5" s="1"/>
    </row>
    <row r="6" spans="1:13" ht="18.75" customHeight="1">
      <c r="A6" s="50" t="s">
        <v>2</v>
      </c>
      <c r="B6" s="2">
        <v>500</v>
      </c>
      <c r="C6" s="2">
        <v>850</v>
      </c>
      <c r="D6" s="2">
        <v>500</v>
      </c>
    </row>
    <row r="7" spans="1:13" ht="18.75" customHeight="1">
      <c r="A7" s="50" t="s">
        <v>64</v>
      </c>
      <c r="B7" s="41">
        <v>35626</v>
      </c>
      <c r="C7" s="2">
        <f>6338.44+3675+3675+3675</f>
        <v>17363.439999999999</v>
      </c>
      <c r="D7" s="41">
        <f>'reserves 2022'!I11</f>
        <v>14657.75041050903</v>
      </c>
      <c r="E7" s="49" t="s">
        <v>134</v>
      </c>
      <c r="M7">
        <f>356.16*18*3</f>
        <v>19232.64</v>
      </c>
    </row>
    <row r="8" spans="1:13" ht="18.75" customHeight="1">
      <c r="A8" s="50" t="s">
        <v>136</v>
      </c>
      <c r="B8" s="41">
        <f>103768.41+19232.64</f>
        <v>123001.05</v>
      </c>
      <c r="C8" s="2">
        <v>123001</v>
      </c>
      <c r="D8" s="41">
        <f>356*12*18</f>
        <v>76896</v>
      </c>
      <c r="E8" s="49"/>
    </row>
    <row r="9" spans="1:13" ht="18.75" customHeight="1" thickBot="1">
      <c r="A9" s="50" t="s">
        <v>4</v>
      </c>
      <c r="B9" s="3">
        <v>20</v>
      </c>
      <c r="C9" s="3">
        <v>20</v>
      </c>
      <c r="D9" s="3">
        <v>20</v>
      </c>
      <c r="E9" s="1" t="s">
        <v>135</v>
      </c>
      <c r="H9">
        <f>50*127*4</f>
        <v>25400</v>
      </c>
      <c r="I9" s="55">
        <f>H9-C7</f>
        <v>8036.5600000000013</v>
      </c>
    </row>
    <row r="10" spans="1:13" ht="18.75" customHeight="1">
      <c r="A10" s="51" t="s">
        <v>5</v>
      </c>
      <c r="B10" s="40">
        <f>SUM(B5:B9)</f>
        <v>399901.05</v>
      </c>
      <c r="C10" s="4">
        <f>SUM(C5:C9)</f>
        <v>382634.44</v>
      </c>
      <c r="D10" s="40">
        <f>SUM(D5:D9)-D8</f>
        <v>247177.75041050906</v>
      </c>
    </row>
    <row r="11" spans="1:13" ht="18.75" customHeight="1"/>
    <row r="12" spans="1:13" ht="18.75" customHeight="1">
      <c r="A12" s="51" t="s">
        <v>6</v>
      </c>
    </row>
    <row r="13" spans="1:13" ht="18.75" customHeight="1">
      <c r="A13" s="50" t="s">
        <v>7</v>
      </c>
      <c r="B13" s="2">
        <v>7200</v>
      </c>
      <c r="C13" s="4">
        <f>3600*2</f>
        <v>7200</v>
      </c>
      <c r="D13" s="2">
        <v>7200</v>
      </c>
    </row>
    <row r="14" spans="1:13" ht="18.75" customHeight="1">
      <c r="A14" s="50" t="s">
        <v>8</v>
      </c>
      <c r="B14" s="2">
        <v>9000</v>
      </c>
      <c r="C14" s="4">
        <v>7000</v>
      </c>
      <c r="D14" s="2">
        <v>200</v>
      </c>
    </row>
    <row r="15" spans="1:13" ht="18.75" customHeight="1">
      <c r="A15" s="50" t="s">
        <v>9</v>
      </c>
      <c r="B15" s="2">
        <v>520</v>
      </c>
      <c r="C15" s="4">
        <v>475</v>
      </c>
      <c r="D15" s="2">
        <v>500</v>
      </c>
    </row>
    <row r="16" spans="1:13" ht="18.75" customHeight="1">
      <c r="A16" s="50" t="s">
        <v>10</v>
      </c>
      <c r="B16" s="2">
        <v>320</v>
      </c>
      <c r="C16" s="4">
        <v>345</v>
      </c>
      <c r="D16" s="2">
        <v>380</v>
      </c>
    </row>
    <row r="17" spans="1:4" ht="18.75" customHeight="1">
      <c r="A17" s="50" t="s">
        <v>50</v>
      </c>
      <c r="B17" s="2">
        <v>300</v>
      </c>
      <c r="C17" s="4">
        <v>200</v>
      </c>
      <c r="D17" s="2">
        <v>200</v>
      </c>
    </row>
    <row r="18" spans="1:4" ht="18.75" customHeight="1">
      <c r="A18" s="50" t="s">
        <v>84</v>
      </c>
      <c r="B18" s="2">
        <v>0</v>
      </c>
      <c r="C18" s="4">
        <f>80894.38+1800+12500</f>
        <v>95194.38</v>
      </c>
      <c r="D18" s="2">
        <f>4160.73*12</f>
        <v>49928.759999999995</v>
      </c>
    </row>
    <row r="19" spans="1:4" ht="18.75" customHeight="1">
      <c r="A19" s="50" t="s">
        <v>11</v>
      </c>
      <c r="B19" s="2">
        <v>0</v>
      </c>
      <c r="C19" s="4">
        <v>0</v>
      </c>
      <c r="D19" s="2">
        <v>50</v>
      </c>
    </row>
    <row r="20" spans="1:4" ht="18.75" customHeight="1">
      <c r="A20" s="50" t="s">
        <v>12</v>
      </c>
      <c r="B20" s="2">
        <v>2200</v>
      </c>
      <c r="C20" s="4">
        <v>900</v>
      </c>
      <c r="D20" s="2">
        <v>1000</v>
      </c>
    </row>
    <row r="21" spans="1:4" ht="18.75" customHeight="1">
      <c r="A21" s="50" t="s">
        <v>13</v>
      </c>
      <c r="B21" s="2">
        <v>105000</v>
      </c>
      <c r="C21" s="4">
        <f>116268.39+33000</f>
        <v>149268.39000000001</v>
      </c>
      <c r="D21" s="2">
        <v>150290</v>
      </c>
    </row>
    <row r="22" spans="1:4" ht="18.75" customHeight="1">
      <c r="A22" s="50" t="s">
        <v>14</v>
      </c>
      <c r="B22" s="2">
        <v>6800</v>
      </c>
      <c r="C22" s="4">
        <v>6000</v>
      </c>
      <c r="D22" s="2">
        <v>6800</v>
      </c>
    </row>
    <row r="23" spans="1:4" ht="18.75" customHeight="1">
      <c r="A23" s="50" t="s">
        <v>121</v>
      </c>
      <c r="B23" s="2">
        <v>12000</v>
      </c>
      <c r="C23" s="4">
        <v>15000</v>
      </c>
      <c r="D23" s="2">
        <v>0</v>
      </c>
    </row>
    <row r="24" spans="1:4" ht="18.75" customHeight="1">
      <c r="A24" s="50" t="s">
        <v>123</v>
      </c>
      <c r="B24" s="2">
        <v>2000</v>
      </c>
      <c r="C24" s="4">
        <v>0</v>
      </c>
      <c r="D24" s="2">
        <v>250</v>
      </c>
    </row>
    <row r="25" spans="1:4" ht="18.75" customHeight="1">
      <c r="A25" s="50" t="s">
        <v>124</v>
      </c>
      <c r="B25" s="2">
        <v>300</v>
      </c>
      <c r="C25" s="4">
        <v>600</v>
      </c>
      <c r="D25" s="2">
        <v>600</v>
      </c>
    </row>
    <row r="26" spans="1:4" ht="18.75" customHeight="1">
      <c r="A26" s="50" t="s">
        <v>122</v>
      </c>
      <c r="B26" s="2">
        <v>1000</v>
      </c>
      <c r="C26" s="4">
        <v>2000</v>
      </c>
      <c r="D26" s="2">
        <v>500</v>
      </c>
    </row>
    <row r="27" spans="1:4" ht="18.75" customHeight="1">
      <c r="A27" s="50" t="s">
        <v>52</v>
      </c>
      <c r="B27" s="2">
        <v>750</v>
      </c>
      <c r="C27" s="4">
        <v>450</v>
      </c>
      <c r="D27" s="2">
        <v>500</v>
      </c>
    </row>
    <row r="28" spans="1:4" ht="18.75" customHeight="1">
      <c r="A28" s="50" t="s">
        <v>17</v>
      </c>
      <c r="B28" s="2">
        <v>25000</v>
      </c>
      <c r="C28" s="4">
        <f>1895*12+1000</f>
        <v>23740</v>
      </c>
      <c r="D28" s="2">
        <v>24000</v>
      </c>
    </row>
    <row r="29" spans="1:4" ht="18.75" customHeight="1">
      <c r="A29" s="50" t="s">
        <v>18</v>
      </c>
      <c r="B29" s="2">
        <v>10000</v>
      </c>
      <c r="C29" s="2">
        <v>500</v>
      </c>
      <c r="D29" s="2">
        <v>400</v>
      </c>
    </row>
    <row r="30" spans="1:4" ht="18.75" customHeight="1">
      <c r="A30" s="50" t="s">
        <v>19</v>
      </c>
      <c r="B30" s="2">
        <v>2500</v>
      </c>
      <c r="C30" s="4">
        <v>7000</v>
      </c>
      <c r="D30" s="2">
        <v>2500</v>
      </c>
    </row>
    <row r="31" spans="1:4" ht="18.75" customHeight="1" thickBot="1">
      <c r="A31" s="50" t="s">
        <v>20</v>
      </c>
      <c r="B31" s="3">
        <v>8000</v>
      </c>
      <c r="C31" s="52">
        <v>10225</v>
      </c>
      <c r="D31" s="3">
        <v>10000</v>
      </c>
    </row>
    <row r="32" spans="1:4" ht="28.5" customHeight="1">
      <c r="A32" s="51" t="s">
        <v>21</v>
      </c>
      <c r="B32" s="4">
        <f>SUM(B13:B31)</f>
        <v>192890</v>
      </c>
      <c r="C32" s="4">
        <f>SUM(C13:C31)</f>
        <v>326097.77</v>
      </c>
      <c r="D32" s="4">
        <f>SUM(D13:D31)</f>
        <v>255298.76</v>
      </c>
    </row>
    <row r="33" spans="1:14" ht="18.75" customHeight="1"/>
    <row r="34" spans="1:14" ht="27" customHeight="1">
      <c r="A34" s="51" t="s">
        <v>22</v>
      </c>
    </row>
    <row r="35" spans="1:14" ht="26.25" customHeight="1">
      <c r="A35" s="50" t="s">
        <v>23</v>
      </c>
      <c r="B35" s="2">
        <v>5634</v>
      </c>
      <c r="C35" s="2">
        <v>0</v>
      </c>
      <c r="D35" s="2">
        <v>1500</v>
      </c>
    </row>
    <row r="36" spans="1:14" ht="18.75" customHeight="1">
      <c r="A36" s="50" t="s">
        <v>24</v>
      </c>
      <c r="B36" s="2">
        <v>7000</v>
      </c>
      <c r="C36" s="4">
        <v>3800</v>
      </c>
      <c r="D36" s="2">
        <v>4000</v>
      </c>
    </row>
    <row r="37" spans="1:14" ht="18.75" customHeight="1">
      <c r="A37" s="50" t="s">
        <v>25</v>
      </c>
      <c r="B37" s="2">
        <v>4000</v>
      </c>
      <c r="C37" s="4">
        <v>4200</v>
      </c>
      <c r="D37" s="2">
        <v>5400</v>
      </c>
      <c r="F37">
        <f>450*12</f>
        <v>5400</v>
      </c>
    </row>
    <row r="38" spans="1:14" ht="18.75" customHeight="1">
      <c r="A38" s="50" t="s">
        <v>26</v>
      </c>
      <c r="B38" s="2">
        <v>1000</v>
      </c>
      <c r="C38" s="4">
        <v>1600</v>
      </c>
      <c r="D38" s="2">
        <v>1200</v>
      </c>
    </row>
    <row r="39" spans="1:14" ht="18.75" customHeight="1">
      <c r="A39" s="50" t="s">
        <v>51</v>
      </c>
      <c r="B39" s="2">
        <v>750</v>
      </c>
      <c r="C39" s="4">
        <v>700</v>
      </c>
      <c r="D39" s="2">
        <v>750</v>
      </c>
    </row>
    <row r="40" spans="1:14" ht="18.75" customHeight="1">
      <c r="A40" s="50" t="s">
        <v>27</v>
      </c>
      <c r="B40" s="2">
        <v>5000</v>
      </c>
      <c r="C40" s="4">
        <v>1500</v>
      </c>
      <c r="D40" s="2">
        <v>2500</v>
      </c>
    </row>
    <row r="41" spans="1:14" ht="18.75" customHeight="1">
      <c r="A41" s="50" t="s">
        <v>28</v>
      </c>
      <c r="B41" s="2">
        <v>10000</v>
      </c>
      <c r="C41" s="4">
        <v>6900</v>
      </c>
      <c r="D41" s="2">
        <v>6000</v>
      </c>
      <c r="F41">
        <v>6000</v>
      </c>
      <c r="N41">
        <f>282509/50/4</f>
        <v>1412.5450000000001</v>
      </c>
    </row>
    <row r="42" spans="1:14" ht="18.75" customHeight="1" thickBot="1">
      <c r="A42" s="50" t="s">
        <v>29</v>
      </c>
      <c r="B42" s="3">
        <v>15000</v>
      </c>
      <c r="C42" s="52">
        <v>2000</v>
      </c>
      <c r="D42" s="3">
        <v>3000</v>
      </c>
      <c r="I42">
        <f>1159.33*50*4</f>
        <v>231866</v>
      </c>
    </row>
    <row r="43" spans="1:14" ht="30.75" customHeight="1">
      <c r="A43" s="51" t="s">
        <v>30</v>
      </c>
      <c r="B43" s="4">
        <f t="shared" ref="B43" si="0">SUM(B35:B42)</f>
        <v>48384</v>
      </c>
      <c r="C43" s="4">
        <f t="shared" ref="C43:D43" si="1">SUM(C35:C42)</f>
        <v>20700</v>
      </c>
      <c r="D43" s="4">
        <f t="shared" si="1"/>
        <v>24350</v>
      </c>
    </row>
    <row r="44" spans="1:14" ht="18.75" customHeight="1"/>
    <row r="45" spans="1:14" ht="26.25" customHeight="1">
      <c r="A45" s="51" t="s">
        <v>31</v>
      </c>
      <c r="B45" s="40">
        <v>35626</v>
      </c>
      <c r="C45" s="4">
        <f>127*50*4</f>
        <v>25400</v>
      </c>
      <c r="D45" s="40">
        <f>'reserves 2021'!I11</f>
        <v>35626.333970443346</v>
      </c>
      <c r="E45" t="s">
        <v>104</v>
      </c>
      <c r="F45" s="1"/>
    </row>
    <row r="46" spans="1:14" ht="18.75" customHeight="1" thickBot="1">
      <c r="B46" s="3"/>
      <c r="C46" s="3"/>
      <c r="D46" s="3"/>
      <c r="F46" s="1"/>
      <c r="G46" s="1"/>
    </row>
    <row r="47" spans="1:14" ht="18.75" customHeight="1">
      <c r="A47" s="51" t="s">
        <v>33</v>
      </c>
      <c r="B47" s="40">
        <f t="shared" ref="B47:C47" si="2">SUM(B32+B43+B45)</f>
        <v>276900</v>
      </c>
      <c r="C47" s="4">
        <f t="shared" si="2"/>
        <v>372197.77</v>
      </c>
      <c r="D47" s="40">
        <f>SUM(D32+D43)-D18</f>
        <v>229720</v>
      </c>
      <c r="F47" s="1"/>
    </row>
    <row r="48" spans="1:14" ht="18.75" customHeight="1">
      <c r="F48" s="1">
        <f>D47/4/50</f>
        <v>1148.5999999999999</v>
      </c>
      <c r="I48" s="1">
        <f>D47/50/4</f>
        <v>1148.5999999999999</v>
      </c>
    </row>
    <row r="49" spans="1:6" ht="15" thickBot="1"/>
    <row r="50" spans="1:6">
      <c r="A50" s="135" t="s">
        <v>191</v>
      </c>
      <c r="B50" s="136"/>
      <c r="C50" s="136"/>
      <c r="D50" s="137"/>
    </row>
    <row r="51" spans="1:6">
      <c r="A51" s="138"/>
      <c r="B51" s="139"/>
      <c r="C51" s="139"/>
      <c r="D51" s="140"/>
      <c r="F51" s="1">
        <f>F48+183</f>
        <v>1331.6</v>
      </c>
    </row>
    <row r="52" spans="1:6">
      <c r="A52" s="138"/>
      <c r="B52" s="139"/>
      <c r="C52" s="139"/>
      <c r="D52" s="140"/>
    </row>
    <row r="53" spans="1:6" ht="15" thickBot="1">
      <c r="A53" s="141"/>
      <c r="B53" s="142"/>
      <c r="C53" s="142"/>
      <c r="D53" s="143"/>
    </row>
    <row r="55" spans="1:6" ht="18.75" customHeight="1"/>
  </sheetData>
  <mergeCells count="5">
    <mergeCell ref="A50:D53"/>
    <mergeCell ref="A1:D1"/>
    <mergeCell ref="B2:B3"/>
    <mergeCell ref="C2:C3"/>
    <mergeCell ref="D2:D3"/>
  </mergeCells>
  <pageMargins left="0.25" right="0.25" top="0.75" bottom="0.75" header="0.3" footer="0.3"/>
  <pageSetup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9964-2F5A-4D9F-A691-535DED23A700}">
  <sheetPr>
    <tabColor rgb="FFFFFF00"/>
  </sheetPr>
  <dimension ref="A1:H27"/>
  <sheetViews>
    <sheetView topLeftCell="A10" zoomScaleNormal="100" workbookViewId="0">
      <selection activeCell="F27" sqref="F27"/>
    </sheetView>
  </sheetViews>
  <sheetFormatPr defaultColWidth="16.21875" defaultRowHeight="14.4"/>
  <cols>
    <col min="1" max="1" width="6.5546875" style="56" customWidth="1"/>
    <col min="2" max="2" width="15.5546875" style="56" customWidth="1"/>
    <col min="3" max="3" width="17.5546875" style="56" customWidth="1"/>
    <col min="4" max="4" width="31.77734375" style="56" customWidth="1"/>
    <col min="5" max="5" width="34.77734375" style="56" customWidth="1"/>
    <col min="6" max="6" width="22.77734375" style="56" customWidth="1"/>
    <col min="7" max="16384" width="16.21875" style="56"/>
  </cols>
  <sheetData>
    <row r="1" spans="1:8" ht="31.5" customHeight="1">
      <c r="A1" s="145" t="s">
        <v>138</v>
      </c>
      <c r="B1" s="145"/>
      <c r="C1" s="145"/>
      <c r="D1" s="145"/>
      <c r="E1" s="145"/>
      <c r="F1" s="145"/>
      <c r="G1" s="150" t="s">
        <v>179</v>
      </c>
      <c r="H1" s="151"/>
    </row>
    <row r="2" spans="1:8" ht="15" thickBot="1">
      <c r="A2" s="61"/>
      <c r="B2" s="62" t="s">
        <v>53</v>
      </c>
      <c r="C2" s="62" t="s">
        <v>139</v>
      </c>
      <c r="D2" s="62" t="s">
        <v>140</v>
      </c>
      <c r="E2" s="61"/>
      <c r="F2" s="62" t="s">
        <v>141</v>
      </c>
      <c r="G2" s="152"/>
      <c r="H2" s="153"/>
    </row>
    <row r="3" spans="1:8">
      <c r="A3" s="63" t="s">
        <v>142</v>
      </c>
      <c r="B3" s="64"/>
      <c r="C3" s="64"/>
      <c r="D3" s="64"/>
      <c r="E3" s="64"/>
      <c r="F3" s="65">
        <f>SUM(F4:F8)</f>
        <v>33350</v>
      </c>
      <c r="G3" s="152"/>
      <c r="H3" s="153"/>
    </row>
    <row r="4" spans="1:8" ht="26.4">
      <c r="A4" s="66"/>
      <c r="B4" s="67" t="s">
        <v>143</v>
      </c>
      <c r="C4" s="68" t="s">
        <v>142</v>
      </c>
      <c r="D4" s="69" t="s">
        <v>144</v>
      </c>
      <c r="E4" s="69" t="s">
        <v>145</v>
      </c>
      <c r="F4" s="70">
        <v>25000</v>
      </c>
      <c r="G4" s="152"/>
      <c r="H4" s="153"/>
    </row>
    <row r="5" spans="1:8">
      <c r="A5" s="71"/>
      <c r="B5" s="72" t="s">
        <v>69</v>
      </c>
      <c r="C5" s="73" t="s">
        <v>142</v>
      </c>
      <c r="D5" s="74"/>
      <c r="E5" s="75" t="s">
        <v>146</v>
      </c>
      <c r="F5" s="74">
        <v>3000</v>
      </c>
      <c r="G5" s="152"/>
      <c r="H5" s="153"/>
    </row>
    <row r="6" spans="1:8" ht="28.8">
      <c r="A6" s="71"/>
      <c r="B6" s="72" t="s">
        <v>147</v>
      </c>
      <c r="C6" s="73" t="s">
        <v>142</v>
      </c>
      <c r="D6" s="75" t="s">
        <v>148</v>
      </c>
      <c r="E6" s="75" t="s">
        <v>149</v>
      </c>
      <c r="F6" s="74">
        <v>3350</v>
      </c>
      <c r="G6" s="152"/>
      <c r="H6" s="153"/>
    </row>
    <row r="7" spans="1:8">
      <c r="A7" s="71"/>
      <c r="B7" s="72" t="s">
        <v>150</v>
      </c>
      <c r="C7" s="73" t="s">
        <v>142</v>
      </c>
      <c r="D7" s="74"/>
      <c r="E7" s="74"/>
      <c r="F7" s="74">
        <v>2000</v>
      </c>
      <c r="G7" s="152"/>
      <c r="H7" s="153"/>
    </row>
    <row r="8" spans="1:8" ht="29.4" thickBot="1">
      <c r="A8" s="76"/>
      <c r="B8" s="77" t="s">
        <v>151</v>
      </c>
      <c r="C8" s="78" t="s">
        <v>142</v>
      </c>
      <c r="D8" s="79" t="s">
        <v>152</v>
      </c>
      <c r="E8" s="79" t="s">
        <v>180</v>
      </c>
      <c r="F8" s="80">
        <v>0</v>
      </c>
      <c r="G8" s="152"/>
      <c r="H8" s="153"/>
    </row>
    <row r="9" spans="1:8">
      <c r="A9" s="63" t="s">
        <v>153</v>
      </c>
      <c r="B9" s="64"/>
      <c r="C9" s="64"/>
      <c r="D9" s="64"/>
      <c r="E9" s="64"/>
      <c r="F9" s="65">
        <f>SUM(F10:F11)</f>
        <v>6400</v>
      </c>
      <c r="G9" s="152"/>
      <c r="H9" s="153"/>
    </row>
    <row r="10" spans="1:8">
      <c r="A10" s="66"/>
      <c r="B10" s="67" t="s">
        <v>154</v>
      </c>
      <c r="C10" s="68" t="s">
        <v>153</v>
      </c>
      <c r="D10" s="70"/>
      <c r="E10" s="70"/>
      <c r="F10" s="70">
        <v>5400</v>
      </c>
      <c r="G10" s="152"/>
      <c r="H10" s="153"/>
    </row>
    <row r="11" spans="1:8" ht="43.8" thickBot="1">
      <c r="A11" s="76"/>
      <c r="B11" s="77" t="s">
        <v>155</v>
      </c>
      <c r="C11" s="78" t="s">
        <v>153</v>
      </c>
      <c r="D11" s="79" t="s">
        <v>181</v>
      </c>
      <c r="E11" s="79" t="s">
        <v>156</v>
      </c>
      <c r="F11" s="80">
        <v>1000</v>
      </c>
      <c r="G11" s="152"/>
      <c r="H11" s="153"/>
    </row>
    <row r="12" spans="1:8">
      <c r="A12" s="63" t="s">
        <v>157</v>
      </c>
      <c r="B12" s="64"/>
      <c r="C12" s="64"/>
      <c r="D12" s="64"/>
      <c r="E12" s="64"/>
      <c r="F12" s="65">
        <f>SUM(F13:F14)</f>
        <v>10400</v>
      </c>
      <c r="G12" s="152"/>
      <c r="H12" s="153"/>
    </row>
    <row r="13" spans="1:8">
      <c r="A13" s="66"/>
      <c r="B13" s="67" t="s">
        <v>158</v>
      </c>
      <c r="C13" s="68" t="s">
        <v>157</v>
      </c>
      <c r="D13" s="69" t="s">
        <v>159</v>
      </c>
      <c r="E13" s="69" t="s">
        <v>160</v>
      </c>
      <c r="F13" s="81">
        <v>10400</v>
      </c>
      <c r="G13" s="152"/>
      <c r="H13" s="153"/>
    </row>
    <row r="14" spans="1:8" ht="15" thickBot="1">
      <c r="A14" s="76"/>
      <c r="B14" s="77" t="s">
        <v>161</v>
      </c>
      <c r="C14" s="78" t="s">
        <v>157</v>
      </c>
      <c r="D14" s="80"/>
      <c r="E14" s="80"/>
      <c r="F14" s="82" t="s">
        <v>162</v>
      </c>
      <c r="G14" s="152"/>
      <c r="H14" s="153"/>
    </row>
    <row r="15" spans="1:8">
      <c r="A15" s="63" t="s">
        <v>163</v>
      </c>
      <c r="B15" s="64"/>
      <c r="C15" s="64"/>
      <c r="D15" s="64"/>
      <c r="E15" s="64"/>
      <c r="F15" s="65">
        <f>SUM(F16:F21)</f>
        <v>44800</v>
      </c>
      <c r="G15" s="152"/>
      <c r="H15" s="153"/>
    </row>
    <row r="16" spans="1:8">
      <c r="A16" s="66"/>
      <c r="B16" s="67" t="s">
        <v>164</v>
      </c>
      <c r="C16" s="68" t="s">
        <v>163</v>
      </c>
      <c r="D16" s="69" t="s">
        <v>146</v>
      </c>
      <c r="E16" s="69" t="s">
        <v>165</v>
      </c>
      <c r="F16" s="81">
        <v>7000</v>
      </c>
      <c r="G16" s="152"/>
      <c r="H16" s="153"/>
    </row>
    <row r="17" spans="1:8" ht="43.2">
      <c r="A17" s="71"/>
      <c r="B17" s="72" t="s">
        <v>166</v>
      </c>
      <c r="C17" s="73" t="s">
        <v>163</v>
      </c>
      <c r="D17" s="75" t="s">
        <v>182</v>
      </c>
      <c r="E17" s="75" t="s">
        <v>183</v>
      </c>
      <c r="F17" s="83">
        <v>28800</v>
      </c>
      <c r="G17" s="152"/>
      <c r="H17" s="153"/>
    </row>
    <row r="18" spans="1:8" ht="43.2">
      <c r="A18" s="71"/>
      <c r="B18" s="72" t="s">
        <v>166</v>
      </c>
      <c r="C18" s="73" t="s">
        <v>163</v>
      </c>
      <c r="D18" s="75" t="s">
        <v>167</v>
      </c>
      <c r="E18" s="75" t="s">
        <v>168</v>
      </c>
      <c r="F18" s="84" t="s">
        <v>178</v>
      </c>
      <c r="G18" s="152"/>
      <c r="H18" s="153"/>
    </row>
    <row r="19" spans="1:8">
      <c r="A19" s="71"/>
      <c r="B19" s="72" t="s">
        <v>184</v>
      </c>
      <c r="C19" s="73" t="s">
        <v>163</v>
      </c>
      <c r="D19" s="75" t="s">
        <v>185</v>
      </c>
      <c r="E19" s="75" t="s">
        <v>186</v>
      </c>
      <c r="F19" s="74">
        <v>3000</v>
      </c>
      <c r="G19" s="152"/>
      <c r="H19" s="153"/>
    </row>
    <row r="20" spans="1:8" ht="43.2">
      <c r="A20" s="71"/>
      <c r="B20" s="72" t="s">
        <v>169</v>
      </c>
      <c r="C20" s="73" t="s">
        <v>163</v>
      </c>
      <c r="D20" s="75" t="s">
        <v>170</v>
      </c>
      <c r="E20" s="75" t="s">
        <v>171</v>
      </c>
      <c r="F20" s="85">
        <v>1000</v>
      </c>
      <c r="G20" s="152"/>
      <c r="H20" s="153"/>
    </row>
    <row r="21" spans="1:8" ht="29.4" thickBot="1">
      <c r="A21" s="76"/>
      <c r="B21" s="77" t="s">
        <v>172</v>
      </c>
      <c r="C21" s="78" t="s">
        <v>163</v>
      </c>
      <c r="D21" s="79" t="s">
        <v>173</v>
      </c>
      <c r="E21" s="80"/>
      <c r="F21" s="86">
        <v>5000</v>
      </c>
      <c r="G21" s="152"/>
      <c r="H21" s="153"/>
    </row>
    <row r="22" spans="1:8">
      <c r="A22" s="63" t="s">
        <v>11</v>
      </c>
      <c r="B22" s="64"/>
      <c r="C22" s="64"/>
      <c r="D22" s="64"/>
      <c r="E22" s="64"/>
      <c r="F22" s="65">
        <f>SUM(F23)</f>
        <v>0</v>
      </c>
      <c r="G22" s="152"/>
      <c r="H22" s="153"/>
    </row>
    <row r="23" spans="1:8" ht="43.2">
      <c r="A23" s="66"/>
      <c r="B23" s="67" t="s">
        <v>174</v>
      </c>
      <c r="C23" s="68" t="s">
        <v>11</v>
      </c>
      <c r="D23" s="69" t="s">
        <v>187</v>
      </c>
      <c r="E23" s="69" t="s">
        <v>188</v>
      </c>
      <c r="F23" s="87">
        <v>0</v>
      </c>
      <c r="G23" s="152"/>
      <c r="H23" s="153"/>
    </row>
    <row r="24" spans="1:8" ht="43.8" thickBot="1">
      <c r="A24" s="57"/>
      <c r="B24" s="58" t="s">
        <v>174</v>
      </c>
      <c r="C24" s="59" t="s">
        <v>11</v>
      </c>
      <c r="D24" s="59" t="s">
        <v>175</v>
      </c>
      <c r="E24" s="59" t="s">
        <v>176</v>
      </c>
      <c r="F24" s="60"/>
      <c r="G24" s="152"/>
      <c r="H24" s="153"/>
    </row>
    <row r="25" spans="1:8">
      <c r="E25" s="146" t="s">
        <v>177</v>
      </c>
      <c r="F25" s="148">
        <f>F15+F12+F9+F3</f>
        <v>94950</v>
      </c>
      <c r="G25" s="152"/>
      <c r="H25" s="153"/>
    </row>
    <row r="26" spans="1:8" ht="15" thickBot="1">
      <c r="E26" s="147"/>
      <c r="F26" s="149"/>
      <c r="G26" s="152"/>
      <c r="H26" s="153"/>
    </row>
    <row r="27" spans="1:8" ht="15" thickBot="1">
      <c r="G27" s="154"/>
      <c r="H27" s="155"/>
    </row>
  </sheetData>
  <mergeCells count="4">
    <mergeCell ref="A1:F1"/>
    <mergeCell ref="E25:E26"/>
    <mergeCell ref="F25:F26"/>
    <mergeCell ref="G1:H27"/>
  </mergeCells>
  <pageMargins left="0.7" right="0.7" top="0.75" bottom="0.75" header="0.3" footer="0.3"/>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31760-0409-4972-82C5-9063755EF764}">
  <dimension ref="A1:L21"/>
  <sheetViews>
    <sheetView topLeftCell="A4" zoomScale="84" zoomScaleNormal="84" zoomScaleSheetLayoutView="69" workbookViewId="0">
      <selection activeCell="H4" sqref="H4"/>
    </sheetView>
  </sheetViews>
  <sheetFormatPr defaultColWidth="9" defaultRowHeight="23.4"/>
  <cols>
    <col min="1" max="1" width="21.77734375" style="6" bestFit="1" customWidth="1"/>
    <col min="2" max="2" width="19.21875" style="6" bestFit="1" customWidth="1"/>
    <col min="3" max="3" width="24.44140625" style="6" bestFit="1" customWidth="1"/>
    <col min="4" max="4" width="27" style="6" bestFit="1" customWidth="1"/>
    <col min="5" max="5" width="21.5546875" style="6" bestFit="1" customWidth="1"/>
    <col min="6" max="6" width="19.44140625" style="6" bestFit="1" customWidth="1"/>
    <col min="7" max="7" width="25.5546875" style="6" bestFit="1" customWidth="1"/>
    <col min="8" max="8" width="30.5546875" style="6" bestFit="1" customWidth="1"/>
    <col min="9" max="9" width="34" style="6" bestFit="1" customWidth="1"/>
    <col min="10" max="10" width="38" style="6" customWidth="1"/>
    <col min="11" max="11" width="18.21875" style="6" bestFit="1" customWidth="1"/>
    <col min="12" max="12" width="22.44140625" style="6" customWidth="1"/>
    <col min="13" max="16384" width="9" style="6"/>
  </cols>
  <sheetData>
    <row r="1" spans="1:12" ht="37.5" customHeight="1">
      <c r="A1" s="129" t="s">
        <v>197</v>
      </c>
      <c r="B1" s="129"/>
      <c r="C1" s="129"/>
      <c r="D1" s="129"/>
      <c r="E1" s="129"/>
      <c r="F1" s="129"/>
      <c r="G1" s="129"/>
      <c r="H1" s="129"/>
    </row>
    <row r="2" spans="1:12" ht="37.5" customHeight="1" thickBot="1">
      <c r="K2" s="6">
        <f>9*25000</f>
        <v>225000</v>
      </c>
    </row>
    <row r="3" spans="1:12" ht="37.5" customHeight="1">
      <c r="A3" s="7" t="s">
        <v>53</v>
      </c>
      <c r="B3" s="8" t="s">
        <v>54</v>
      </c>
      <c r="C3" s="8" t="s">
        <v>54</v>
      </c>
      <c r="D3" s="8" t="s">
        <v>55</v>
      </c>
      <c r="E3" s="9" t="s">
        <v>56</v>
      </c>
      <c r="F3" s="8" t="s">
        <v>57</v>
      </c>
      <c r="G3" s="8" t="s">
        <v>58</v>
      </c>
      <c r="H3" s="10" t="s">
        <v>59</v>
      </c>
      <c r="I3" s="10" t="s">
        <v>59</v>
      </c>
      <c r="J3" s="11"/>
      <c r="K3" s="12">
        <f>1500000-225000</f>
        <v>1275000</v>
      </c>
    </row>
    <row r="4" spans="1:12" ht="37.5" customHeight="1">
      <c r="A4" s="13"/>
      <c r="B4" s="14" t="s">
        <v>60</v>
      </c>
      <c r="C4" s="14" t="s">
        <v>61</v>
      </c>
      <c r="D4" s="14" t="s">
        <v>62</v>
      </c>
      <c r="E4" s="15" t="s">
        <v>63</v>
      </c>
      <c r="F4" s="14" t="s">
        <v>64</v>
      </c>
      <c r="G4" s="14" t="s">
        <v>59</v>
      </c>
      <c r="H4" s="16" t="s">
        <v>137</v>
      </c>
      <c r="I4" s="16" t="s">
        <v>196</v>
      </c>
      <c r="J4" s="11" t="s">
        <v>130</v>
      </c>
      <c r="K4" s="12">
        <f>K3/50</f>
        <v>25500</v>
      </c>
    </row>
    <row r="5" spans="1:12" ht="37.5" customHeight="1">
      <c r="A5" s="13"/>
      <c r="B5" s="14"/>
      <c r="C5" s="14"/>
      <c r="D5" s="14"/>
      <c r="E5" s="15" t="s">
        <v>65</v>
      </c>
      <c r="F5" s="17">
        <v>44926</v>
      </c>
      <c r="G5" s="14" t="s">
        <v>66</v>
      </c>
      <c r="H5" s="16" t="s">
        <v>67</v>
      </c>
      <c r="I5" s="16" t="s">
        <v>68</v>
      </c>
      <c r="J5" s="11"/>
      <c r="K5" s="12"/>
    </row>
    <row r="6" spans="1:12" ht="37.5" customHeight="1">
      <c r="A6" s="13" t="s">
        <v>69</v>
      </c>
      <c r="B6" s="18">
        <v>20</v>
      </c>
      <c r="C6" s="19">
        <v>1500000</v>
      </c>
      <c r="D6" s="18">
        <v>9</v>
      </c>
      <c r="E6" s="20">
        <v>0.5</v>
      </c>
      <c r="F6" s="21">
        <f>F11*E6</f>
        <v>15500</v>
      </c>
      <c r="G6" s="21">
        <f>SUM(C6-F6)</f>
        <v>1484500</v>
      </c>
      <c r="H6" s="22">
        <f>SUM(G6/D6)</f>
        <v>164944.44444444444</v>
      </c>
      <c r="I6" s="23">
        <f>H6*0.06</f>
        <v>9896.6666666666661</v>
      </c>
      <c r="J6" s="11"/>
      <c r="K6" s="12">
        <f>H6*0.05</f>
        <v>8247.2222222222226</v>
      </c>
      <c r="L6" s="37">
        <f>H6*0.1</f>
        <v>16494.444444444445</v>
      </c>
    </row>
    <row r="7" spans="1:12" ht="37.5" customHeight="1">
      <c r="A7" s="13" t="s">
        <v>70</v>
      </c>
      <c r="B7" s="18">
        <v>30</v>
      </c>
      <c r="C7" s="21">
        <v>800000</v>
      </c>
      <c r="D7" s="18">
        <v>29</v>
      </c>
      <c r="E7" s="20">
        <v>0.125</v>
      </c>
      <c r="F7" s="21">
        <f>F11*E7</f>
        <v>3875</v>
      </c>
      <c r="G7" s="21">
        <f t="shared" ref="G7:G10" si="0">SUM(C7-F7)</f>
        <v>796125</v>
      </c>
      <c r="H7" s="22">
        <f>SUM(G7/29)</f>
        <v>27452.586206896551</v>
      </c>
      <c r="I7" s="23">
        <f>H7*0.06</f>
        <v>1647.155172413793</v>
      </c>
      <c r="J7" s="11"/>
      <c r="K7" s="12">
        <f>H7*0.05</f>
        <v>1372.6293103448277</v>
      </c>
      <c r="L7" s="37">
        <f>H7*0.1</f>
        <v>2745.2586206896553</v>
      </c>
    </row>
    <row r="8" spans="1:12" ht="37.5" customHeight="1">
      <c r="A8" s="13" t="s">
        <v>71</v>
      </c>
      <c r="B8" s="18">
        <v>8</v>
      </c>
      <c r="C8" s="21">
        <v>20000</v>
      </c>
      <c r="D8" s="18">
        <v>8</v>
      </c>
      <c r="E8" s="20">
        <v>0.125</v>
      </c>
      <c r="F8" s="21">
        <f>F11*E8</f>
        <v>3875</v>
      </c>
      <c r="G8" s="21">
        <f t="shared" si="0"/>
        <v>16125</v>
      </c>
      <c r="H8" s="22">
        <f>SUM(G8/1)</f>
        <v>16125</v>
      </c>
      <c r="I8" s="23">
        <f>H8*0.06</f>
        <v>967.5</v>
      </c>
      <c r="J8" s="11"/>
      <c r="K8" s="12">
        <f>H8*0.05</f>
        <v>806.25</v>
      </c>
      <c r="L8" s="37">
        <f>H8*0.1</f>
        <v>1612.5</v>
      </c>
    </row>
    <row r="9" spans="1:12" ht="37.5" customHeight="1">
      <c r="A9" s="13" t="s">
        <v>72</v>
      </c>
      <c r="B9" s="18">
        <v>40</v>
      </c>
      <c r="C9" s="21">
        <v>70000</v>
      </c>
      <c r="D9" s="18">
        <v>3</v>
      </c>
      <c r="E9" s="20">
        <v>0.125</v>
      </c>
      <c r="F9" s="21">
        <f>F11*E9</f>
        <v>3875</v>
      </c>
      <c r="G9" s="21">
        <f t="shared" si="0"/>
        <v>66125</v>
      </c>
      <c r="H9" s="22">
        <f>SUM(G9/3)</f>
        <v>22041.666666666668</v>
      </c>
      <c r="I9" s="22">
        <f>H9*0.06</f>
        <v>1322.5</v>
      </c>
      <c r="J9" s="11"/>
      <c r="K9" s="12">
        <f>H9*0.05</f>
        <v>1102.0833333333335</v>
      </c>
      <c r="L9" s="37">
        <f>H9*0.1</f>
        <v>2204.166666666667</v>
      </c>
    </row>
    <row r="10" spans="1:12" ht="37.5" customHeight="1">
      <c r="A10" s="13" t="s">
        <v>73</v>
      </c>
      <c r="B10" s="18">
        <v>8</v>
      </c>
      <c r="C10" s="21">
        <v>100000</v>
      </c>
      <c r="D10" s="18">
        <v>7</v>
      </c>
      <c r="E10" s="20">
        <v>0.125</v>
      </c>
      <c r="F10" s="21">
        <f>F11*E10</f>
        <v>3875</v>
      </c>
      <c r="G10" s="21">
        <f t="shared" si="0"/>
        <v>96125</v>
      </c>
      <c r="H10" s="22">
        <f>SUM(G10/7)</f>
        <v>13732.142857142857</v>
      </c>
      <c r="I10" s="22">
        <f>H10*0.06</f>
        <v>823.92857142857133</v>
      </c>
      <c r="K10" s="37">
        <f>H10*0.05</f>
        <v>686.60714285714289</v>
      </c>
      <c r="L10" s="37">
        <f>SUM(H10*0.1)</f>
        <v>1373.2142857142858</v>
      </c>
    </row>
    <row r="11" spans="1:12" ht="37.5" customHeight="1" thickBot="1">
      <c r="A11" s="24" t="s">
        <v>74</v>
      </c>
      <c r="B11" s="25"/>
      <c r="C11" s="26">
        <f>SUM(C6:C10)</f>
        <v>2490000</v>
      </c>
      <c r="D11" s="25"/>
      <c r="E11" s="27">
        <f>SUM(E6:E10)</f>
        <v>1</v>
      </c>
      <c r="F11" s="26">
        <v>31000</v>
      </c>
      <c r="G11" s="26">
        <f>SUM(G6:G10)</f>
        <v>2459000</v>
      </c>
      <c r="H11" s="28">
        <f>SUM(H6:H10)</f>
        <v>244295.84017515052</v>
      </c>
      <c r="I11" s="42">
        <f>SUM(I6:I10)</f>
        <v>14657.75041050903</v>
      </c>
      <c r="K11" s="53">
        <f>SUM(K6:K10)</f>
        <v>12214.792008757528</v>
      </c>
      <c r="L11" s="37">
        <f>SUM(L6:L10)</f>
        <v>24429.584017515055</v>
      </c>
    </row>
    <row r="12" spans="1:12">
      <c r="K12" s="6">
        <f>K11/50/4</f>
        <v>61.073960043787636</v>
      </c>
      <c r="L12" s="37">
        <f>L11/50/4</f>
        <v>122.14792008757527</v>
      </c>
    </row>
    <row r="13" spans="1:12">
      <c r="A13" s="130" t="s">
        <v>75</v>
      </c>
      <c r="B13" s="130"/>
      <c r="C13" s="130"/>
      <c r="D13" s="130" t="s">
        <v>76</v>
      </c>
      <c r="E13" s="130"/>
      <c r="F13" s="130"/>
      <c r="G13" s="130"/>
      <c r="H13" s="130"/>
      <c r="I13" s="130"/>
    </row>
    <row r="14" spans="1:12" ht="46.2">
      <c r="A14" s="131" t="s">
        <v>79</v>
      </c>
      <c r="B14" s="132" t="s">
        <v>78</v>
      </c>
      <c r="C14" s="132"/>
      <c r="D14" s="132"/>
      <c r="E14" s="133" t="s">
        <v>80</v>
      </c>
      <c r="F14" s="133"/>
      <c r="G14" s="29" t="s">
        <v>81</v>
      </c>
      <c r="H14" s="29" t="s">
        <v>128</v>
      </c>
      <c r="I14" s="88" t="s">
        <v>129</v>
      </c>
      <c r="J14" s="35"/>
      <c r="K14" s="6">
        <f>3675*4</f>
        <v>14700</v>
      </c>
    </row>
    <row r="15" spans="1:12">
      <c r="A15" s="131"/>
      <c r="B15" s="134">
        <v>1259</v>
      </c>
      <c r="C15" s="134"/>
      <c r="D15" s="134"/>
      <c r="E15" s="144">
        <f>SUM(H11/50/4)</f>
        <v>1221.4792008757527</v>
      </c>
      <c r="F15" s="144"/>
      <c r="G15" s="38">
        <f>E15+B15</f>
        <v>2480.4792008757527</v>
      </c>
      <c r="H15" s="89">
        <f>I11/4/50</f>
        <v>73.288752052545149</v>
      </c>
      <c r="I15" s="90">
        <v>1332</v>
      </c>
      <c r="J15" s="36"/>
      <c r="K15" s="37"/>
    </row>
    <row r="16" spans="1:12" ht="24" thickBot="1">
      <c r="J16" s="6">
        <f>1332-73</f>
        <v>1259</v>
      </c>
      <c r="K16" s="6">
        <f>K14/50/4</f>
        <v>73.5</v>
      </c>
    </row>
    <row r="17" spans="1:11">
      <c r="A17" s="123" t="s">
        <v>77</v>
      </c>
      <c r="B17" s="124"/>
      <c r="C17" s="124"/>
      <c r="D17" s="124"/>
      <c r="E17" s="124"/>
      <c r="F17" s="124"/>
      <c r="G17" s="124"/>
      <c r="H17" s="124"/>
      <c r="I17" s="125"/>
    </row>
    <row r="18" spans="1:11" ht="24" thickBot="1">
      <c r="A18" s="126"/>
      <c r="B18" s="127"/>
      <c r="C18" s="127"/>
      <c r="D18" s="127"/>
      <c r="E18" s="127"/>
      <c r="F18" s="127"/>
      <c r="G18" s="127"/>
      <c r="H18" s="127"/>
      <c r="I18" s="128"/>
    </row>
    <row r="20" spans="1:11">
      <c r="K20" s="37">
        <f>I11/4</f>
        <v>3664.4376026272575</v>
      </c>
    </row>
    <row r="21" spans="1:11">
      <c r="G21" s="37">
        <f>B15+J15</f>
        <v>1259</v>
      </c>
    </row>
  </sheetData>
  <mergeCells count="9">
    <mergeCell ref="A17:I18"/>
    <mergeCell ref="A1:H1"/>
    <mergeCell ref="A13:C13"/>
    <mergeCell ref="D13:I13"/>
    <mergeCell ref="A14:A15"/>
    <mergeCell ref="B14:D14"/>
    <mergeCell ref="E14:F14"/>
    <mergeCell ref="B15:D15"/>
    <mergeCell ref="E15:F15"/>
  </mergeCells>
  <pageMargins left="0.25" right="0.25" top="0.75" bottom="0.75" header="0.3" footer="0.3"/>
  <pageSetup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2019 budget</vt:lpstr>
      <vt:lpstr>2020 budget</vt:lpstr>
      <vt:lpstr>loan</vt:lpstr>
      <vt:lpstr>reserves 2020</vt:lpstr>
      <vt:lpstr>2021 budget</vt:lpstr>
      <vt:lpstr>reserves 2021</vt:lpstr>
      <vt:lpstr>2022 budget</vt:lpstr>
      <vt:lpstr>Sheet1</vt:lpstr>
      <vt:lpstr>reserves 2022</vt:lpstr>
      <vt:lpstr>2023 budget</vt:lpstr>
      <vt:lpstr>reserves 2023</vt:lpstr>
      <vt:lpstr>2024 budget</vt:lpstr>
      <vt:lpstr>reserves 2024</vt:lpstr>
      <vt:lpstr>'2020 budget'!Print_Area</vt:lpstr>
      <vt:lpstr>'2021 budget'!Print_Area</vt:lpstr>
      <vt:lpstr>'2022 budget'!Print_Area</vt:lpstr>
      <vt:lpstr>'2023 budget'!Print_Area</vt:lpstr>
      <vt:lpstr>'2024 budget'!Print_Area</vt:lpstr>
      <vt:lpstr>'reserves 2020'!Print_Area</vt:lpstr>
      <vt:lpstr>'reserves 2021'!Print_Area</vt:lpstr>
      <vt:lpstr>'reserves 2022'!Print_Area</vt:lpstr>
      <vt:lpstr>'reserves 2023'!Print_Area</vt:lpstr>
      <vt:lpstr>'reserves 2024'!Print_Area</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dc:creator>
  <cp:lastModifiedBy>jamie blum</cp:lastModifiedBy>
  <cp:lastPrinted>2022-11-09T12:55:23Z</cp:lastPrinted>
  <dcterms:created xsi:type="dcterms:W3CDTF">2019-06-17T20:00:56Z</dcterms:created>
  <dcterms:modified xsi:type="dcterms:W3CDTF">2024-10-14T21:05:57Z</dcterms:modified>
</cp:coreProperties>
</file>