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64690517dddf648/Desktop/"/>
    </mc:Choice>
  </mc:AlternateContent>
  <xr:revisionPtr revIDLastSave="0" documentId="8_{B1D54399-335A-4583-99B0-BF8E3B54F71A}" xr6:coauthVersionLast="47" xr6:coauthVersionMax="47" xr10:uidLastSave="{00000000-0000-0000-0000-000000000000}"/>
  <bookViews>
    <workbookView xWindow="-108" yWindow="-108" windowWidth="23256" windowHeight="13896" firstSheet="19" activeTab="20" xr2:uid="{00000000-000D-0000-FFFF-FFFF00000000}"/>
  </bookViews>
  <sheets>
    <sheet name="reserves 2014 (2)" sheetId="4" r:id="rId1"/>
    <sheet name="2014" sheetId="1" r:id="rId2"/>
    <sheet name="reserves 2015" sheetId="2" r:id="rId3"/>
    <sheet name="2015" sheetId="3" r:id="rId4"/>
    <sheet name="reserves 2016" sheetId="5" r:id="rId5"/>
    <sheet name="2016" sheetId="6" r:id="rId6"/>
    <sheet name="2017" sheetId="8" r:id="rId7"/>
    <sheet name="reserves 2017" sheetId="7" r:id="rId8"/>
    <sheet name="2018" sheetId="9" r:id="rId9"/>
    <sheet name="reserves 2018" sheetId="10" r:id="rId10"/>
    <sheet name="2019" sheetId="11" r:id="rId11"/>
    <sheet name="reserves 2019" sheetId="12" r:id="rId12"/>
    <sheet name="Budget 2020" sheetId="13" r:id="rId13"/>
    <sheet name="reserves 2020" sheetId="14" r:id="rId14"/>
    <sheet name="Budget 2021" sheetId="15" r:id="rId15"/>
    <sheet name="reserves 2021" sheetId="16" r:id="rId16"/>
    <sheet name="Budget 2022" sheetId="17" r:id="rId17"/>
    <sheet name="reserves 2022" sheetId="18" r:id="rId18"/>
    <sheet name="Budget 2023" sheetId="19" r:id="rId19"/>
    <sheet name="reserves 2023" sheetId="20" r:id="rId20"/>
    <sheet name="Budget 2024" sheetId="21" r:id="rId21"/>
    <sheet name="reserves 2024" sheetId="22" r:id="rId22"/>
    <sheet name="reserves revised 2024 (2)" sheetId="23" r:id="rId23"/>
  </sheets>
  <definedNames>
    <definedName name="_xlnm.Print_Area" localSheetId="1">'2014'!$A$1:$C$56</definedName>
    <definedName name="_xlnm.Print_Area" localSheetId="3">'2015'!$A$1:$D$53</definedName>
    <definedName name="_xlnm.Print_Area" localSheetId="5">'2016'!$A$1:$D$54</definedName>
    <definedName name="_xlnm.Print_Area" localSheetId="6">'2017'!$A$1:$D$54</definedName>
    <definedName name="_xlnm.Print_Area" localSheetId="8">'2018'!$A$1:$D$60</definedName>
    <definedName name="_xlnm.Print_Area" localSheetId="10">'2019'!$A$1:$D$53</definedName>
    <definedName name="_xlnm.Print_Area" localSheetId="12">'Budget 2020'!$A$1:$D$54</definedName>
    <definedName name="_xlnm.Print_Area" localSheetId="14">'Budget 2021'!$A$1:$D$56</definedName>
    <definedName name="_xlnm.Print_Area" localSheetId="16">'Budget 2022'!$A$1:$D$56</definedName>
    <definedName name="_xlnm.Print_Area" localSheetId="18">'Budget 2023'!$A$1:$D$57</definedName>
    <definedName name="_xlnm.Print_Area" localSheetId="20">'Budget 2024'!$A$1:$D$57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5" i="23" l="1"/>
  <c r="E16" i="23"/>
  <c r="E26" i="23"/>
  <c r="D16" i="23"/>
  <c r="C16" i="23"/>
  <c r="G15" i="23"/>
  <c r="I15" i="23" s="1"/>
  <c r="H15" i="23" s="1"/>
  <c r="I14" i="23"/>
  <c r="G13" i="23"/>
  <c r="I13" i="23" s="1"/>
  <c r="H13" i="23" s="1"/>
  <c r="G12" i="23"/>
  <c r="I12" i="23" s="1"/>
  <c r="H12" i="23" s="1"/>
  <c r="G11" i="23"/>
  <c r="I11" i="23" s="1"/>
  <c r="H11" i="23" s="1"/>
  <c r="G10" i="23"/>
  <c r="B5" i="23"/>
  <c r="G53" i="21"/>
  <c r="B52" i="21"/>
  <c r="B54" i="21" s="1"/>
  <c r="B11" i="21" s="1"/>
  <c r="B14" i="21" s="1"/>
  <c r="B45" i="21"/>
  <c r="B35" i="21"/>
  <c r="B23" i="21"/>
  <c r="E26" i="22"/>
  <c r="D16" i="22"/>
  <c r="C16" i="22"/>
  <c r="E15" i="22"/>
  <c r="G15" i="22" s="1"/>
  <c r="I15" i="22" s="1"/>
  <c r="H15" i="22" s="1"/>
  <c r="E14" i="22"/>
  <c r="I14" i="22" s="1"/>
  <c r="I13" i="22"/>
  <c r="H13" i="22" s="1"/>
  <c r="G13" i="22"/>
  <c r="E13" i="22"/>
  <c r="E12" i="22"/>
  <c r="G12" i="22" s="1"/>
  <c r="I12" i="22" s="1"/>
  <c r="H12" i="22" s="1"/>
  <c r="I11" i="22"/>
  <c r="H11" i="22" s="1"/>
  <c r="G11" i="22"/>
  <c r="E11" i="22"/>
  <c r="E10" i="22"/>
  <c r="G10" i="22" s="1"/>
  <c r="B5" i="22"/>
  <c r="D52" i="21"/>
  <c r="C52" i="21"/>
  <c r="H46" i="21"/>
  <c r="D45" i="21"/>
  <c r="C45" i="21"/>
  <c r="D35" i="21"/>
  <c r="C35" i="21"/>
  <c r="D23" i="21"/>
  <c r="C23" i="21"/>
  <c r="C14" i="21"/>
  <c r="G11" i="21"/>
  <c r="E15" i="20"/>
  <c r="E14" i="20"/>
  <c r="E13" i="20"/>
  <c r="E12" i="20"/>
  <c r="E11" i="20"/>
  <c r="E10" i="20"/>
  <c r="D23" i="19"/>
  <c r="H46" i="19"/>
  <c r="E26" i="20"/>
  <c r="C16" i="20"/>
  <c r="B5" i="20"/>
  <c r="D52" i="19"/>
  <c r="C52" i="19"/>
  <c r="D45" i="19"/>
  <c r="C38" i="19"/>
  <c r="C45" i="19" s="1"/>
  <c r="D35" i="19"/>
  <c r="C35" i="19"/>
  <c r="C23" i="19"/>
  <c r="C14" i="19"/>
  <c r="G11" i="19"/>
  <c r="B53" i="17"/>
  <c r="C22" i="17"/>
  <c r="C51" i="17"/>
  <c r="C34" i="17"/>
  <c r="C44" i="17"/>
  <c r="C53" i="17"/>
  <c r="E26" i="18"/>
  <c r="G10" i="18"/>
  <c r="I10" i="18"/>
  <c r="G11" i="18"/>
  <c r="I11" i="18"/>
  <c r="G12" i="18"/>
  <c r="I12" i="18"/>
  <c r="G13" i="18"/>
  <c r="I13" i="18"/>
  <c r="G14" i="18"/>
  <c r="I14" i="18"/>
  <c r="G15" i="18"/>
  <c r="I15" i="18"/>
  <c r="I16" i="18"/>
  <c r="H10" i="18"/>
  <c r="H11" i="18"/>
  <c r="H12" i="18"/>
  <c r="H13" i="18"/>
  <c r="H15" i="18"/>
  <c r="H16" i="18"/>
  <c r="G16" i="18"/>
  <c r="E16" i="18"/>
  <c r="D10" i="18"/>
  <c r="D11" i="18"/>
  <c r="D12" i="18"/>
  <c r="D13" i="18"/>
  <c r="D14" i="18"/>
  <c r="D15" i="18"/>
  <c r="D16" i="18"/>
  <c r="C16" i="18"/>
  <c r="E4" i="18"/>
  <c r="F4" i="18"/>
  <c r="F5" i="18"/>
  <c r="E5" i="18"/>
  <c r="C4" i="18"/>
  <c r="D4" i="18"/>
  <c r="D5" i="18"/>
  <c r="C5" i="18"/>
  <c r="B5" i="18"/>
  <c r="D51" i="17"/>
  <c r="D44" i="17"/>
  <c r="D34" i="17"/>
  <c r="D22" i="17"/>
  <c r="D53" i="17"/>
  <c r="C37" i="17"/>
  <c r="C43" i="17"/>
  <c r="B22" i="17"/>
  <c r="B34" i="17"/>
  <c r="B44" i="17"/>
  <c r="B51" i="17"/>
  <c r="D11" i="17"/>
  <c r="D13" i="17"/>
  <c r="C13" i="17"/>
  <c r="B11" i="17"/>
  <c r="B13" i="17"/>
  <c r="G11" i="17"/>
  <c r="H15" i="16"/>
  <c r="H13" i="16"/>
  <c r="H12" i="16"/>
  <c r="H11" i="16"/>
  <c r="H10" i="16"/>
  <c r="D11" i="15"/>
  <c r="E26" i="16"/>
  <c r="H16" i="16"/>
  <c r="D10" i="16"/>
  <c r="D11" i="16"/>
  <c r="D12" i="16"/>
  <c r="D13" i="16"/>
  <c r="D14" i="16"/>
  <c r="D15" i="16"/>
  <c r="E16" i="16"/>
  <c r="D34" i="15"/>
  <c r="D22" i="15"/>
  <c r="D53" i="15"/>
  <c r="D51" i="15"/>
  <c r="D44" i="15"/>
  <c r="C37" i="15"/>
  <c r="C43" i="15"/>
  <c r="C42" i="15"/>
  <c r="C44" i="15"/>
  <c r="C34" i="15"/>
  <c r="C22" i="15"/>
  <c r="B51" i="15"/>
  <c r="B44" i="15"/>
  <c r="B34" i="15"/>
  <c r="B22" i="15"/>
  <c r="B53" i="15"/>
  <c r="B11" i="15"/>
  <c r="B13" i="15"/>
  <c r="D16" i="16"/>
  <c r="C16" i="16"/>
  <c r="G15" i="16"/>
  <c r="I15" i="16"/>
  <c r="G14" i="16"/>
  <c r="I14" i="16"/>
  <c r="G13" i="16"/>
  <c r="I13" i="16"/>
  <c r="G12" i="16"/>
  <c r="I12" i="16"/>
  <c r="G11" i="16"/>
  <c r="I11" i="16"/>
  <c r="G10" i="16"/>
  <c r="I10" i="16"/>
  <c r="B5" i="16"/>
  <c r="C51" i="15"/>
  <c r="C13" i="15"/>
  <c r="G11" i="15"/>
  <c r="D13" i="15"/>
  <c r="C53" i="15"/>
  <c r="I16" i="16"/>
  <c r="C4" i="16"/>
  <c r="E4" i="16"/>
  <c r="G16" i="16"/>
  <c r="E15" i="14"/>
  <c r="E14" i="14"/>
  <c r="E13" i="14"/>
  <c r="E12" i="14"/>
  <c r="E11" i="14"/>
  <c r="E10" i="14"/>
  <c r="D11" i="13"/>
  <c r="C11" i="13"/>
  <c r="B50" i="13"/>
  <c r="B43" i="13"/>
  <c r="B34" i="13"/>
  <c r="B22" i="13"/>
  <c r="B51" i="13"/>
  <c r="B11" i="13"/>
  <c r="B13" i="13"/>
  <c r="D16" i="14"/>
  <c r="C16" i="14"/>
  <c r="G15" i="14"/>
  <c r="I15" i="14"/>
  <c r="H15" i="14"/>
  <c r="G14" i="14"/>
  <c r="I14" i="14"/>
  <c r="H14" i="14"/>
  <c r="G13" i="14"/>
  <c r="I13" i="14"/>
  <c r="H13" i="14"/>
  <c r="G12" i="14"/>
  <c r="I12" i="14"/>
  <c r="H12" i="14"/>
  <c r="G11" i="14"/>
  <c r="I11" i="14"/>
  <c r="H11" i="14"/>
  <c r="G10" i="14"/>
  <c r="I10" i="14"/>
  <c r="B5" i="14"/>
  <c r="D50" i="13"/>
  <c r="C50" i="13"/>
  <c r="C22" i="13"/>
  <c r="C34" i="13"/>
  <c r="C43" i="13"/>
  <c r="C51" i="13"/>
  <c r="D43" i="13"/>
  <c r="D34" i="13"/>
  <c r="D22" i="13"/>
  <c r="D51" i="13"/>
  <c r="C13" i="13"/>
  <c r="G12" i="13"/>
  <c r="G11" i="13"/>
  <c r="D13" i="13"/>
  <c r="I16" i="14"/>
  <c r="C4" i="14"/>
  <c r="H10" i="14"/>
  <c r="H16" i="14"/>
  <c r="E4" i="14"/>
  <c r="G16" i="14"/>
  <c r="D49" i="11"/>
  <c r="C49" i="11"/>
  <c r="B49" i="11"/>
  <c r="D42" i="11"/>
  <c r="C42" i="11"/>
  <c r="C34" i="11"/>
  <c r="C22" i="11"/>
  <c r="C50" i="11"/>
  <c r="B40" i="11"/>
  <c r="B42" i="11"/>
  <c r="D34" i="11"/>
  <c r="B34" i="11"/>
  <c r="D22" i="11"/>
  <c r="D50" i="11"/>
  <c r="B22" i="11"/>
  <c r="B50" i="11"/>
  <c r="C13" i="11"/>
  <c r="B13" i="11"/>
  <c r="G12" i="11"/>
  <c r="G11" i="11"/>
  <c r="D11" i="11"/>
  <c r="D13" i="11"/>
  <c r="E5" i="14"/>
  <c r="F4" i="14"/>
  <c r="F5" i="14"/>
  <c r="C5" i="14"/>
  <c r="D4" i="14"/>
  <c r="D5" i="14"/>
  <c r="D16" i="12"/>
  <c r="C16" i="12"/>
  <c r="G15" i="12"/>
  <c r="I15" i="12"/>
  <c r="H15" i="12"/>
  <c r="G14" i="12"/>
  <c r="I14" i="12"/>
  <c r="H14" i="12"/>
  <c r="G13" i="12"/>
  <c r="I13" i="12"/>
  <c r="H13" i="12"/>
  <c r="G12" i="12"/>
  <c r="I12" i="12"/>
  <c r="H12" i="12"/>
  <c r="G11" i="12"/>
  <c r="I11" i="12"/>
  <c r="H11" i="12"/>
  <c r="G10" i="12"/>
  <c r="I10" i="12"/>
  <c r="B5" i="12"/>
  <c r="I16" i="12"/>
  <c r="C4" i="12"/>
  <c r="C5" i="12"/>
  <c r="H10" i="12"/>
  <c r="H16" i="12"/>
  <c r="E4" i="12"/>
  <c r="E5" i="12"/>
  <c r="F4" i="12"/>
  <c r="F5" i="12"/>
  <c r="D4" i="12"/>
  <c r="D5" i="12"/>
  <c r="G16" i="12"/>
  <c r="B4" i="10"/>
  <c r="D57" i="9"/>
  <c r="C57" i="9"/>
  <c r="B57" i="9"/>
  <c r="C34" i="9"/>
  <c r="C42" i="9"/>
  <c r="C49" i="9"/>
  <c r="B40" i="9"/>
  <c r="B42" i="9"/>
  <c r="B11" i="9"/>
  <c r="B13" i="9"/>
  <c r="D16" i="10"/>
  <c r="C16" i="10"/>
  <c r="G15" i="10"/>
  <c r="I15" i="10"/>
  <c r="H15" i="10"/>
  <c r="G14" i="10"/>
  <c r="I14" i="10"/>
  <c r="H14" i="10"/>
  <c r="G13" i="10"/>
  <c r="I13" i="10"/>
  <c r="H13" i="10"/>
  <c r="G12" i="10"/>
  <c r="I12" i="10"/>
  <c r="H12" i="10"/>
  <c r="G11" i="10"/>
  <c r="I11" i="10"/>
  <c r="H11" i="10"/>
  <c r="G10" i="10"/>
  <c r="B5" i="10"/>
  <c r="D49" i="9"/>
  <c r="B49" i="9"/>
  <c r="D40" i="9"/>
  <c r="D42" i="9"/>
  <c r="D34" i="9"/>
  <c r="B34" i="9"/>
  <c r="D22" i="9"/>
  <c r="C22" i="9"/>
  <c r="C58" i="9"/>
  <c r="B22" i="9"/>
  <c r="C13" i="9"/>
  <c r="D13" i="9"/>
  <c r="G16" i="10"/>
  <c r="I10" i="10"/>
  <c r="I16" i="10"/>
  <c r="C4" i="10"/>
  <c r="D58" i="9"/>
  <c r="B58" i="9"/>
  <c r="H10" i="10"/>
  <c r="H16" i="10"/>
  <c r="E4" i="10"/>
  <c r="D24" i="8"/>
  <c r="E5" i="10"/>
  <c r="F4" i="10"/>
  <c r="F5" i="10"/>
  <c r="C5" i="10"/>
  <c r="D4" i="10"/>
  <c r="D5" i="10"/>
  <c r="D11" i="8"/>
  <c r="D13" i="8"/>
  <c r="D22" i="8"/>
  <c r="D34" i="8"/>
  <c r="D49" i="8"/>
  <c r="B49" i="8"/>
  <c r="B40" i="8"/>
  <c r="B39" i="8"/>
  <c r="B37" i="8"/>
  <c r="B34" i="8"/>
  <c r="B22" i="8"/>
  <c r="B13" i="8"/>
  <c r="C49" i="8"/>
  <c r="C42" i="8"/>
  <c r="D40" i="8"/>
  <c r="D42" i="8"/>
  <c r="C34" i="8"/>
  <c r="C22" i="8"/>
  <c r="C13" i="8"/>
  <c r="D16" i="7"/>
  <c r="C16" i="7"/>
  <c r="G15" i="7"/>
  <c r="I15" i="7"/>
  <c r="H15" i="7"/>
  <c r="G14" i="7"/>
  <c r="I14" i="7"/>
  <c r="H14" i="7"/>
  <c r="G13" i="7"/>
  <c r="I13" i="7"/>
  <c r="H13" i="7"/>
  <c r="G12" i="7"/>
  <c r="I12" i="7"/>
  <c r="H12" i="7"/>
  <c r="G11" i="7"/>
  <c r="I11" i="7"/>
  <c r="H11" i="7"/>
  <c r="G10" i="7"/>
  <c r="I10" i="7"/>
  <c r="B5" i="7"/>
  <c r="E50" i="6"/>
  <c r="E48" i="6"/>
  <c r="E47" i="6"/>
  <c r="E46" i="6"/>
  <c r="E45" i="6"/>
  <c r="E44" i="6"/>
  <c r="E43" i="6"/>
  <c r="E41" i="6"/>
  <c r="E38" i="6"/>
  <c r="E36" i="6"/>
  <c r="E35" i="6"/>
  <c r="E33" i="6"/>
  <c r="E32" i="6"/>
  <c r="E31" i="6"/>
  <c r="E30" i="6"/>
  <c r="E29" i="6"/>
  <c r="E28" i="6"/>
  <c r="E27" i="6"/>
  <c r="E26" i="6"/>
  <c r="E25" i="6"/>
  <c r="E24" i="6"/>
  <c r="E23" i="6"/>
  <c r="E22" i="6"/>
  <c r="E20" i="6"/>
  <c r="E19" i="6"/>
  <c r="E18" i="6"/>
  <c r="E16" i="6"/>
  <c r="E15" i="6"/>
  <c r="E14" i="6"/>
  <c r="E13" i="6"/>
  <c r="E11" i="6"/>
  <c r="E10" i="6"/>
  <c r="E9" i="6"/>
  <c r="E7" i="6"/>
  <c r="B49" i="6"/>
  <c r="B40" i="6"/>
  <c r="B39" i="6"/>
  <c r="B37" i="6"/>
  <c r="B34" i="6"/>
  <c r="B21" i="6"/>
  <c r="B12" i="6"/>
  <c r="D49" i="6"/>
  <c r="E49" i="6"/>
  <c r="C49" i="6"/>
  <c r="C42" i="6"/>
  <c r="D40" i="6"/>
  <c r="E40" i="6"/>
  <c r="D39" i="6"/>
  <c r="E39" i="6"/>
  <c r="D37" i="6"/>
  <c r="D34" i="6"/>
  <c r="E34" i="6"/>
  <c r="C34" i="6"/>
  <c r="D21" i="6"/>
  <c r="E21" i="6"/>
  <c r="C21" i="6"/>
  <c r="D12" i="6"/>
  <c r="E12" i="6"/>
  <c r="C12" i="6"/>
  <c r="D16" i="5"/>
  <c r="C16" i="5"/>
  <c r="G15" i="5"/>
  <c r="I15" i="5"/>
  <c r="H15" i="5"/>
  <c r="G14" i="5"/>
  <c r="I14" i="5"/>
  <c r="H14" i="5"/>
  <c r="G13" i="5"/>
  <c r="I13" i="5"/>
  <c r="H13" i="5"/>
  <c r="G12" i="5"/>
  <c r="I12" i="5"/>
  <c r="H12" i="5"/>
  <c r="G11" i="5"/>
  <c r="I11" i="5"/>
  <c r="H11" i="5"/>
  <c r="G10" i="5"/>
  <c r="B5" i="5"/>
  <c r="D36" i="3"/>
  <c r="D39" i="3"/>
  <c r="D38" i="3"/>
  <c r="D48" i="3"/>
  <c r="B48" i="3"/>
  <c r="B41" i="3"/>
  <c r="B33" i="3"/>
  <c r="B15" i="3"/>
  <c r="B20" i="3"/>
  <c r="B12" i="3"/>
  <c r="D16" i="4"/>
  <c r="C16" i="4"/>
  <c r="E15" i="4"/>
  <c r="G15" i="4"/>
  <c r="I15" i="4"/>
  <c r="H15" i="4"/>
  <c r="E14" i="4"/>
  <c r="G14" i="4"/>
  <c r="I14" i="4"/>
  <c r="H14" i="4"/>
  <c r="E13" i="4"/>
  <c r="G13" i="4"/>
  <c r="I13" i="4"/>
  <c r="H13" i="4"/>
  <c r="E12" i="4"/>
  <c r="G12" i="4"/>
  <c r="I12" i="4"/>
  <c r="H12" i="4"/>
  <c r="E11" i="4"/>
  <c r="G11" i="4"/>
  <c r="I11" i="4"/>
  <c r="H11" i="4"/>
  <c r="E10" i="4"/>
  <c r="G10" i="4"/>
  <c r="B5" i="4"/>
  <c r="C48" i="3"/>
  <c r="C41" i="3"/>
  <c r="D33" i="3"/>
  <c r="C33" i="3"/>
  <c r="C20" i="3"/>
  <c r="D20" i="3"/>
  <c r="D12" i="3"/>
  <c r="C12" i="3"/>
  <c r="B11" i="1"/>
  <c r="B14" i="1"/>
  <c r="B5" i="2"/>
  <c r="C18" i="1"/>
  <c r="C23" i="1"/>
  <c r="G15" i="2"/>
  <c r="I15" i="2"/>
  <c r="H15" i="2"/>
  <c r="G14" i="2"/>
  <c r="I14" i="2"/>
  <c r="H14" i="2"/>
  <c r="G13" i="2"/>
  <c r="I13" i="2"/>
  <c r="H13" i="2"/>
  <c r="G12" i="2"/>
  <c r="I12" i="2"/>
  <c r="H12" i="2"/>
  <c r="G11" i="2"/>
  <c r="G10" i="2"/>
  <c r="I10" i="2"/>
  <c r="D16" i="2"/>
  <c r="C16" i="2"/>
  <c r="C44" i="1"/>
  <c r="B44" i="1"/>
  <c r="C14" i="1"/>
  <c r="C51" i="1"/>
  <c r="C36" i="1"/>
  <c r="B23" i="1"/>
  <c r="B25" i="1"/>
  <c r="B36" i="1"/>
  <c r="B51" i="1"/>
  <c r="B42" i="8"/>
  <c r="E11" i="8"/>
  <c r="D51" i="8"/>
  <c r="B51" i="8"/>
  <c r="C51" i="8"/>
  <c r="I16" i="7"/>
  <c r="C4" i="7"/>
  <c r="H10" i="7"/>
  <c r="H16" i="7"/>
  <c r="E4" i="7"/>
  <c r="G16" i="7"/>
  <c r="D42" i="6"/>
  <c r="E42" i="6"/>
  <c r="E37" i="6"/>
  <c r="B53" i="1"/>
  <c r="C51" i="6"/>
  <c r="B42" i="6"/>
  <c r="B51" i="6"/>
  <c r="G16" i="5"/>
  <c r="I10" i="5"/>
  <c r="D41" i="3"/>
  <c r="D50" i="3"/>
  <c r="B50" i="3"/>
  <c r="C50" i="3"/>
  <c r="I10" i="4"/>
  <c r="G16" i="4"/>
  <c r="I11" i="2"/>
  <c r="H11" i="2"/>
  <c r="G16" i="2"/>
  <c r="H10" i="2"/>
  <c r="C53" i="1"/>
  <c r="E5" i="7"/>
  <c r="F4" i="7"/>
  <c r="F5" i="7"/>
  <c r="C5" i="7"/>
  <c r="D4" i="7"/>
  <c r="D5" i="7"/>
  <c r="D51" i="6"/>
  <c r="E51" i="6"/>
  <c r="H10" i="5"/>
  <c r="H16" i="5"/>
  <c r="E4" i="5"/>
  <c r="I16" i="5"/>
  <c r="C4" i="5"/>
  <c r="I16" i="4"/>
  <c r="C4" i="4"/>
  <c r="H10" i="4"/>
  <c r="H16" i="4"/>
  <c r="E4" i="4"/>
  <c r="I16" i="2"/>
  <c r="C4" i="2"/>
  <c r="H16" i="2"/>
  <c r="E4" i="2"/>
  <c r="E5" i="2"/>
  <c r="E5" i="5"/>
  <c r="F4" i="5"/>
  <c r="F5" i="5"/>
  <c r="C5" i="5"/>
  <c r="D4" i="5"/>
  <c r="D5" i="5"/>
  <c r="C5" i="4"/>
  <c r="D4" i="4"/>
  <c r="D5" i="4"/>
  <c r="E5" i="4"/>
  <c r="F4" i="4"/>
  <c r="F5" i="4"/>
  <c r="C5" i="2"/>
  <c r="D4" i="2"/>
  <c r="D5" i="2"/>
  <c r="F4" i="2"/>
  <c r="F5" i="2"/>
  <c r="E5" i="16"/>
  <c r="F4" i="16"/>
  <c r="F5" i="16"/>
  <c r="C5" i="16"/>
  <c r="D4" i="16"/>
  <c r="D5" i="16"/>
  <c r="D54" i="21" l="1"/>
  <c r="D11" i="21" s="1"/>
  <c r="D14" i="21" s="1"/>
  <c r="C54" i="21"/>
  <c r="G16" i="23"/>
  <c r="I10" i="23"/>
  <c r="I10" i="22"/>
  <c r="G16" i="22"/>
  <c r="D54" i="19"/>
  <c r="D11" i="19" s="1"/>
  <c r="C54" i="19"/>
  <c r="D16" i="20"/>
  <c r="F56" i="21" l="1"/>
  <c r="I16" i="23"/>
  <c r="C4" i="23" s="1"/>
  <c r="H10" i="23"/>
  <c r="H16" i="23" s="1"/>
  <c r="E4" i="23" s="1"/>
  <c r="I16" i="22"/>
  <c r="C4" i="22" s="1"/>
  <c r="H10" i="22"/>
  <c r="H16" i="22" s="1"/>
  <c r="E4" i="22" s="1"/>
  <c r="D14" i="19"/>
  <c r="F56" i="19"/>
  <c r="G14" i="20"/>
  <c r="I14" i="20" s="1"/>
  <c r="D4" i="23" l="1"/>
  <c r="D5" i="23" s="1"/>
  <c r="C5" i="23"/>
  <c r="F4" i="23"/>
  <c r="F5" i="23" s="1"/>
  <c r="E5" i="23"/>
  <c r="F4" i="22"/>
  <c r="F5" i="22" s="1"/>
  <c r="E5" i="22"/>
  <c r="C5" i="22"/>
  <c r="D4" i="22"/>
  <c r="D5" i="22" s="1"/>
  <c r="G13" i="20"/>
  <c r="I13" i="20" s="1"/>
  <c r="H13" i="20" s="1"/>
  <c r="G12" i="20"/>
  <c r="I12" i="20" s="1"/>
  <c r="H12" i="20" s="1"/>
  <c r="G15" i="20"/>
  <c r="I15" i="20" s="1"/>
  <c r="H15" i="20" s="1"/>
  <c r="G11" i="20"/>
  <c r="I11" i="20" s="1"/>
  <c r="H11" i="20" s="1"/>
  <c r="G10" i="20"/>
  <c r="I10" i="20" l="1"/>
  <c r="G16" i="20"/>
  <c r="I16" i="20" l="1"/>
  <c r="C4" i="20" s="1"/>
  <c r="H10" i="20"/>
  <c r="H16" i="20" s="1"/>
  <c r="E4" i="20" s="1"/>
  <c r="D4" i="20" l="1"/>
  <c r="D5" i="20" s="1"/>
  <c r="C5" i="20"/>
  <c r="F4" i="20"/>
  <c r="F5" i="20" s="1"/>
  <c r="E5" i="20"/>
</calcChain>
</file>

<file path=xl/sharedStrings.xml><?xml version="1.0" encoding="utf-8"?>
<sst xmlns="http://schemas.openxmlformats.org/spreadsheetml/2006/main" count="917" uniqueCount="161">
  <si>
    <t>Income</t>
  </si>
  <si>
    <t>Special Assessments</t>
  </si>
  <si>
    <t>Miscellaneous</t>
  </si>
  <si>
    <t>Total Income</t>
  </si>
  <si>
    <t>Expenses:</t>
  </si>
  <si>
    <t>Office Expenses</t>
  </si>
  <si>
    <t>Bank Fees</t>
  </si>
  <si>
    <t>License and Permits</t>
  </si>
  <si>
    <t>Insurance</t>
  </si>
  <si>
    <t>Maintenance Expense</t>
  </si>
  <si>
    <t>Lawn Service</t>
  </si>
  <si>
    <t>Pool Expense</t>
  </si>
  <si>
    <t>Office Expense</t>
  </si>
  <si>
    <t>Utility Expenses:</t>
  </si>
  <si>
    <t>Water</t>
  </si>
  <si>
    <t>Electric</t>
  </si>
  <si>
    <t>Total Utility Expenses</t>
  </si>
  <si>
    <t>Total Expenses</t>
  </si>
  <si>
    <t>Total Maintenance Expense</t>
  </si>
  <si>
    <t>Total Office Expenses</t>
  </si>
  <si>
    <t>Oakland Arms Condominium Association, Inc
Budget for January 1, 2014 to December 31, 2014</t>
  </si>
  <si>
    <t>Interest Income</t>
  </si>
  <si>
    <t>Late Fees</t>
  </si>
  <si>
    <t xml:space="preserve">Laundry Income </t>
  </si>
  <si>
    <t>Accounting</t>
  </si>
  <si>
    <t>Trash</t>
  </si>
  <si>
    <t>Gas</t>
  </si>
  <si>
    <t>General repairs and maint</t>
  </si>
  <si>
    <t>Building maintenance</t>
  </si>
  <si>
    <t>Painting</t>
  </si>
  <si>
    <t>Dock and Seawall Repairs</t>
  </si>
  <si>
    <t>Fire Alarm</t>
  </si>
  <si>
    <t>Gas Grill</t>
  </si>
  <si>
    <t>Patio Furniture</t>
  </si>
  <si>
    <t>Roof Repairs</t>
  </si>
  <si>
    <t>Contract Expense:</t>
  </si>
  <si>
    <t>Irrigation Expense</t>
  </si>
  <si>
    <t>Pest Control</t>
  </si>
  <si>
    <t>Total Contract Expense</t>
  </si>
  <si>
    <t>Management Fee</t>
  </si>
  <si>
    <t>.</t>
  </si>
  <si>
    <t>Pool Service Expense</t>
  </si>
  <si>
    <t>Quarterly Maintenance Fees Per Unit $1000.00</t>
  </si>
  <si>
    <t>Maintenance Fees</t>
  </si>
  <si>
    <t xml:space="preserve">Units: </t>
  </si>
  <si>
    <t>Quarterly Maintenance with Full Reserves Per Unit</t>
  </si>
  <si>
    <t>Quarterly Maintenance with partial Reserves Per Unit</t>
  </si>
  <si>
    <t>Total Maintenance</t>
  </si>
  <si>
    <t>Catwalks</t>
  </si>
  <si>
    <t>Roof</t>
  </si>
  <si>
    <t>Reserves 2014</t>
  </si>
  <si>
    <t>Item</t>
  </si>
  <si>
    <t>Paving/Maintenance</t>
  </si>
  <si>
    <t>Total</t>
  </si>
  <si>
    <t>Pool</t>
  </si>
  <si>
    <t>Seawall</t>
  </si>
  <si>
    <t>Per Units</t>
  </si>
  <si>
    <t>Dock Fees</t>
  </si>
  <si>
    <t>Actual Income/Expenses</t>
  </si>
  <si>
    <t>Proposed Budget</t>
  </si>
  <si>
    <t>Additional Quarterly Maintenance Per Unit with full reserves</t>
  </si>
  <si>
    <t>Additional Quarterly Maintenance Per Unit with partial reserves</t>
  </si>
  <si>
    <t>Estimated
Life</t>
  </si>
  <si>
    <t>Estimated
Cost</t>
  </si>
  <si>
    <t>% Per Each
Reserve</t>
  </si>
  <si>
    <t>Amount 
Reguired
for Life</t>
  </si>
  <si>
    <t>Required
2014 Budget
Partial 50%</t>
  </si>
  <si>
    <t>Money in 
Reserves
12/31/2013</t>
  </si>
  <si>
    <t>Years left
for
Replacement</t>
  </si>
  <si>
    <t>Required
2014 Budget
Full Reserves</t>
  </si>
  <si>
    <t>Quarterly Maintenance Per Unit with no reserves</t>
  </si>
  <si>
    <t>*The Florida Statues require the Board of Directors to adopt a budget with full reserves.
The unit owners at a duly called meeting, may vote against the funding of full reserves or may opt to vote for reserves "less than adequate". (Partial Reserves)</t>
  </si>
  <si>
    <t>Maintenance Assessments</t>
  </si>
  <si>
    <t>proposed $1000 per quarter</t>
  </si>
  <si>
    <t>Oakland Arms Condominium Association, Inc
Budget for January 1, 2015 to December 31, 2015</t>
  </si>
  <si>
    <t>Approved Budget</t>
  </si>
  <si>
    <t>Reserves 2015</t>
  </si>
  <si>
    <t>Money in 
Reserves
12/31/2014</t>
  </si>
  <si>
    <t>Required
2015 Budget
Partial 50%</t>
  </si>
  <si>
    <t>Required
20154 Budget
Full Reserves</t>
  </si>
  <si>
    <t>Estimated Income/Expenses</t>
  </si>
  <si>
    <t>*</t>
  </si>
  <si>
    <t>Money in 
Reserves
12/31/2015</t>
  </si>
  <si>
    <t>Reserves 2016</t>
  </si>
  <si>
    <t>Oakland Arms Condominium Association, Inc
Budget for January 1, 2016 to December 31, 2016</t>
  </si>
  <si>
    <t>Required
2016 Budget
Partial 50%</t>
  </si>
  <si>
    <t>Required
2016 Budget
Full Reserves</t>
  </si>
  <si>
    <t xml:space="preserve">Approved Budget </t>
  </si>
  <si>
    <t>Quarterly Maintenance Fees Per Unit $1000.00 no reserves for 2016</t>
  </si>
  <si>
    <t>Legal</t>
  </si>
  <si>
    <t>Reserves 2017</t>
  </si>
  <si>
    <t>Money in 
Reserves
12/31/2016</t>
  </si>
  <si>
    <t>Required
2017 Budget
Partial 50%</t>
  </si>
  <si>
    <t>Required
2017 Budget
Full Reserves</t>
  </si>
  <si>
    <t xml:space="preserve">Proposed Budget </t>
  </si>
  <si>
    <t>Oakland Arms Condominium Association, Inc
Budget for January 1, 2017 to December 31, 2017</t>
  </si>
  <si>
    <t>Special Assessment</t>
  </si>
  <si>
    <t>Quarterly Maintenance Fees Per Unit $1100.00 2017</t>
  </si>
  <si>
    <t>Oakland Arms Condominium Association, Inc
Budget for January 1, 2018 to December 31, 2018</t>
  </si>
  <si>
    <t>Reserves 2018</t>
  </si>
  <si>
    <t>Required
2018 Budget
Partial 50%</t>
  </si>
  <si>
    <t>Required
2018 Budget
Full Reserves</t>
  </si>
  <si>
    <t>Building Cleanup</t>
  </si>
  <si>
    <t xml:space="preserve">Irrigation </t>
  </si>
  <si>
    <t>New Awning</t>
  </si>
  <si>
    <t>Pool Deck</t>
  </si>
  <si>
    <t>Pool Refinishing</t>
  </si>
  <si>
    <t>Termite Tenting/Security</t>
  </si>
  <si>
    <t>Total Assessment Expense</t>
  </si>
  <si>
    <t>Money in 
Reserves
12/31/2017</t>
  </si>
  <si>
    <t>Quarterly Maintenance Fees Per Unit $1100.00 2018</t>
  </si>
  <si>
    <t>Reserves 2019</t>
  </si>
  <si>
    <t>Money in 
Reserves
12/31/2018</t>
  </si>
  <si>
    <t>Oakland Arms Condominium Association, Inc
Budget for January 1, 2019 to December 31, 2019</t>
  </si>
  <si>
    <t>Quarterly Maintenance Fees Per Unit $1250.00 2019</t>
  </si>
  <si>
    <t>Reserves 2020</t>
  </si>
  <si>
    <t>Money in 
Reserves
12/31/2019</t>
  </si>
  <si>
    <t>Required
2019 Budget
Partial 50%</t>
  </si>
  <si>
    <t>Required
2019 Budget
Full Reserves</t>
  </si>
  <si>
    <t>Oakland Arms Condominium Association, Inc
Budget for January 1, 2020 to December 31, 2020</t>
  </si>
  <si>
    <t>Washer and Dryers</t>
  </si>
  <si>
    <t>crime 260</t>
  </si>
  <si>
    <t>flood 4650</t>
  </si>
  <si>
    <t>w comp 644</t>
  </si>
  <si>
    <t>DO 1101</t>
  </si>
  <si>
    <t>GL 2800</t>
  </si>
  <si>
    <t>Prop 10300</t>
  </si>
  <si>
    <t>umb 758</t>
  </si>
  <si>
    <t>Quarterly Maintenance Fees Per Unit $1400.00 2020</t>
  </si>
  <si>
    <t>Reserves 2021</t>
  </si>
  <si>
    <t>Money in 
Reserves
12/31/2020</t>
  </si>
  <si>
    <t>Required
2020 Budget
Full Reserves</t>
  </si>
  <si>
    <t>Oakland Arms Condominium Association, Inc
Budget for January 1, 2021 to December 31, 2021</t>
  </si>
  <si>
    <t>Reserves</t>
  </si>
  <si>
    <t>Tree Trimming</t>
  </si>
  <si>
    <t>flood 4591</t>
  </si>
  <si>
    <t>Prop 13758</t>
  </si>
  <si>
    <t>GL 5440</t>
  </si>
  <si>
    <t>DO 1208</t>
  </si>
  <si>
    <t>crime 309</t>
  </si>
  <si>
    <t>Required
2020 Budget
Partial 11%</t>
  </si>
  <si>
    <t>Quarterly Maintenance Fees Per Unit $1400.00 for 2021</t>
  </si>
  <si>
    <t>Oakland Arms Condominium Association, Inc
Budget for January 1, 2022 to December 31, 2022</t>
  </si>
  <si>
    <t>Quarterly Maintenance Fees Per Unit $1400.00 for 2022</t>
  </si>
  <si>
    <t>Reserves 2022</t>
  </si>
  <si>
    <t>Money in 
Reserves
12/31/2021</t>
  </si>
  <si>
    <t>Required
2022 Budget
Partial 11%</t>
  </si>
  <si>
    <t>Reserves 2023</t>
  </si>
  <si>
    <t>Money in 
Reserves
12/31/2022</t>
  </si>
  <si>
    <t>Required
2023 Budget
Partial 11%</t>
  </si>
  <si>
    <t>Assessment</t>
  </si>
  <si>
    <t>Oakland Arms Condominium Association, Inc
Budget for January 1, 2023 to December 31, 2023</t>
  </si>
  <si>
    <t>Quarterly Maintenance Fees Per Unit $1800.00 for 2023</t>
  </si>
  <si>
    <t>Reserves 2024</t>
  </si>
  <si>
    <t>Money in 
Reserves
12/31/2023</t>
  </si>
  <si>
    <t>Required
2024 Budget
Partial 11%</t>
  </si>
  <si>
    <t>Required
2024 Budget
Full Reserves</t>
  </si>
  <si>
    <t>Savings Account</t>
  </si>
  <si>
    <t xml:space="preserve">Oakland Arms Condominium Association, Inc
Budget for January 1, 2024 to December 31, 2024 -Amended </t>
  </si>
  <si>
    <t>Quarterly Maintenance Fees Per Unit $2012.00 for 2024 plus $100.00 per quarter for reserves for 2024</t>
  </si>
  <si>
    <t xml:space="preserve">Approve Budget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</si>
</sst>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&quot;$&quot;#,##0.00"/>
    <numFmt numFmtId="165" formatCode="&quot;$&quot;#,##0"/>
  </numFmts>
  <fonts count="9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3" fillId="0" borderId="0" xfId="0" applyNumberFormat="1" applyFont="1" applyAlignment="1">
      <alignment horizontal="center"/>
    </xf>
    <xf numFmtId="0" fontId="5" fillId="0" borderId="0" xfId="0" applyFont="1"/>
    <xf numFmtId="4" fontId="3" fillId="0" borderId="0" xfId="0" applyNumberFormat="1" applyFont="1" applyAlignment="1">
      <alignment horizontal="center"/>
    </xf>
    <xf numFmtId="4" fontId="2" fillId="0" borderId="0" xfId="0" applyNumberFormat="1" applyFont="1" applyAlignment="1">
      <alignment horizontal="center"/>
    </xf>
    <xf numFmtId="4" fontId="2" fillId="0" borderId="1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165" fontId="6" fillId="0" borderId="6" xfId="0" applyNumberFormat="1" applyFont="1" applyBorder="1" applyAlignment="1">
      <alignment horizontal="center"/>
    </xf>
    <xf numFmtId="165" fontId="6" fillId="0" borderId="8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 wrapText="1"/>
    </xf>
    <xf numFmtId="2" fontId="7" fillId="0" borderId="7" xfId="0" applyNumberFormat="1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164" fontId="3" fillId="0" borderId="11" xfId="0" applyNumberFormat="1" applyFont="1" applyBorder="1" applyAlignment="1">
      <alignment horizontal="center" wrapText="1"/>
    </xf>
    <xf numFmtId="165" fontId="5" fillId="0" borderId="10" xfId="0" applyNumberFormat="1" applyFont="1" applyBorder="1" applyAlignment="1">
      <alignment horizontal="center"/>
    </xf>
    <xf numFmtId="0" fontId="3" fillId="0" borderId="15" xfId="0" applyFont="1" applyBorder="1"/>
    <xf numFmtId="164" fontId="3" fillId="0" borderId="16" xfId="0" applyNumberFormat="1" applyFont="1" applyBorder="1" applyAlignment="1">
      <alignment horizontal="center" wrapText="1"/>
    </xf>
    <xf numFmtId="0" fontId="5" fillId="0" borderId="17" xfId="0" applyFont="1" applyBorder="1"/>
    <xf numFmtId="165" fontId="5" fillId="0" borderId="18" xfId="0" applyNumberFormat="1" applyFont="1" applyBorder="1" applyAlignment="1">
      <alignment horizontal="center"/>
    </xf>
    <xf numFmtId="0" fontId="3" fillId="0" borderId="19" xfId="0" applyFont="1" applyBorder="1"/>
    <xf numFmtId="165" fontId="3" fillId="0" borderId="20" xfId="0" applyNumberFormat="1" applyFont="1" applyBorder="1" applyAlignment="1">
      <alignment horizontal="center"/>
    </xf>
    <xf numFmtId="165" fontId="3" fillId="0" borderId="21" xfId="0" applyNumberFormat="1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26" xfId="0" applyFont="1" applyBorder="1" applyAlignment="1">
      <alignment horizontal="center" wrapText="1"/>
    </xf>
    <xf numFmtId="0" fontId="7" fillId="0" borderId="27" xfId="0" applyFont="1" applyBorder="1" applyAlignment="1">
      <alignment horizontal="center"/>
    </xf>
    <xf numFmtId="165" fontId="6" fillId="0" borderId="28" xfId="0" applyNumberFormat="1" applyFont="1" applyBorder="1" applyAlignment="1">
      <alignment horizontal="center"/>
    </xf>
    <xf numFmtId="0" fontId="7" fillId="2" borderId="29" xfId="0" applyFont="1" applyFill="1" applyBorder="1" applyAlignment="1">
      <alignment horizontal="center"/>
    </xf>
    <xf numFmtId="0" fontId="7" fillId="2" borderId="30" xfId="0" applyFont="1" applyFill="1" applyBorder="1" applyAlignment="1">
      <alignment horizontal="center"/>
    </xf>
    <xf numFmtId="165" fontId="7" fillId="2" borderId="30" xfId="0" applyNumberFormat="1" applyFont="1" applyFill="1" applyBorder="1" applyAlignment="1">
      <alignment horizontal="center"/>
    </xf>
    <xf numFmtId="10" fontId="7" fillId="2" borderId="30" xfId="0" applyNumberFormat="1" applyFont="1" applyFill="1" applyBorder="1" applyAlignment="1">
      <alignment horizontal="center"/>
    </xf>
    <xf numFmtId="165" fontId="7" fillId="2" borderId="31" xfId="0" applyNumberFormat="1" applyFont="1" applyFill="1" applyBorder="1" applyAlignment="1">
      <alignment horizontal="center"/>
    </xf>
    <xf numFmtId="165" fontId="7" fillId="2" borderId="32" xfId="0" applyNumberFormat="1" applyFont="1" applyFill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 wrapText="1"/>
    </xf>
    <xf numFmtId="0" fontId="2" fillId="3" borderId="0" xfId="0" applyFont="1" applyFill="1"/>
    <xf numFmtId="0" fontId="6" fillId="3" borderId="6" xfId="0" applyFont="1" applyFill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165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2" fontId="6" fillId="0" borderId="6" xfId="0" applyNumberFormat="1" applyFont="1" applyBorder="1" applyAlignment="1">
      <alignment horizontal="center"/>
    </xf>
    <xf numFmtId="4" fontId="8" fillId="4" borderId="37" xfId="0" applyNumberFormat="1" applyFont="1" applyFill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7" fillId="0" borderId="43" xfId="0" applyFont="1" applyBorder="1" applyAlignment="1">
      <alignment horizontal="center" wrapText="1"/>
    </xf>
    <xf numFmtId="0" fontId="7" fillId="0" borderId="44" xfId="0" applyFont="1" applyBorder="1" applyAlignment="1">
      <alignment horizontal="center"/>
    </xf>
    <xf numFmtId="165" fontId="6" fillId="0" borderId="45" xfId="0" applyNumberFormat="1" applyFont="1" applyBorder="1" applyAlignment="1">
      <alignment horizontal="center"/>
    </xf>
    <xf numFmtId="0" fontId="7" fillId="2" borderId="36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/>
    </xf>
    <xf numFmtId="165" fontId="7" fillId="2" borderId="37" xfId="0" applyNumberFormat="1" applyFont="1" applyFill="1" applyBorder="1" applyAlignment="1">
      <alignment horizontal="center"/>
    </xf>
    <xf numFmtId="10" fontId="7" fillId="2" borderId="37" xfId="0" applyNumberFormat="1" applyFont="1" applyFill="1" applyBorder="1" applyAlignment="1">
      <alignment horizontal="center"/>
    </xf>
    <xf numFmtId="165" fontId="7" fillId="2" borderId="46" xfId="0" applyNumberFormat="1" applyFont="1" applyFill="1" applyBorder="1" applyAlignment="1">
      <alignment horizontal="center"/>
    </xf>
    <xf numFmtId="165" fontId="7" fillId="2" borderId="38" xfId="0" applyNumberFormat="1" applyFont="1" applyFill="1" applyBorder="1" applyAlignment="1">
      <alignment horizontal="center"/>
    </xf>
    <xf numFmtId="165" fontId="6" fillId="3" borderId="6" xfId="0" applyNumberFormat="1" applyFont="1" applyFill="1" applyBorder="1" applyAlignment="1">
      <alignment horizontal="center"/>
    </xf>
    <xf numFmtId="4" fontId="8" fillId="3" borderId="37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 wrapText="1"/>
    </xf>
    <xf numFmtId="165" fontId="5" fillId="0" borderId="0" xfId="0" applyNumberFormat="1" applyFont="1" applyAlignment="1">
      <alignment horizontal="center"/>
    </xf>
    <xf numFmtId="0" fontId="3" fillId="0" borderId="50" xfId="0" applyFont="1" applyBorder="1"/>
    <xf numFmtId="164" fontId="3" fillId="0" borderId="51" xfId="0" applyNumberFormat="1" applyFont="1" applyBorder="1" applyAlignment="1">
      <alignment horizontal="center" wrapText="1"/>
    </xf>
    <xf numFmtId="0" fontId="5" fillId="0" borderId="50" xfId="0" applyFont="1" applyBorder="1"/>
    <xf numFmtId="165" fontId="5" fillId="0" borderId="51" xfId="0" applyNumberFormat="1" applyFont="1" applyBorder="1" applyAlignment="1">
      <alignment horizontal="center"/>
    </xf>
    <xf numFmtId="165" fontId="3" fillId="0" borderId="51" xfId="0" applyNumberFormat="1" applyFont="1" applyBorder="1" applyAlignment="1">
      <alignment horizontal="center"/>
    </xf>
    <xf numFmtId="0" fontId="0" fillId="0" borderId="1" xfId="0" applyBorder="1"/>
    <xf numFmtId="0" fontId="0" fillId="0" borderId="53" xfId="0" applyBorder="1"/>
    <xf numFmtId="8" fontId="1" fillId="5" borderId="1" xfId="0" applyNumberFormat="1" applyFont="1" applyFill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164" fontId="0" fillId="0" borderId="0" xfId="0" applyNumberFormat="1"/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22" xfId="0" applyFont="1" applyBorder="1" applyAlignment="1">
      <alignment horizontal="center"/>
    </xf>
    <xf numFmtId="0" fontId="6" fillId="0" borderId="33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1" fillId="5" borderId="52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view="pageLayout" topLeftCell="B13" zoomScaleNormal="100" workbookViewId="0">
      <selection activeCell="A9" sqref="A9"/>
    </sheetView>
  </sheetViews>
  <sheetFormatPr defaultColWidth="8.77734375" defaultRowHeight="13.2" x14ac:dyDescent="0.25"/>
  <cols>
    <col min="1" max="1" width="23" customWidth="1"/>
    <col min="2" max="2" width="18.44140625" customWidth="1"/>
    <col min="3" max="3" width="26.21875" customWidth="1"/>
    <col min="4" max="4" width="19.44140625" customWidth="1"/>
    <col min="5" max="5" width="18.5546875" customWidth="1"/>
    <col min="6" max="6" width="18.21875" customWidth="1"/>
    <col min="7" max="7" width="16.44140625" customWidth="1"/>
    <col min="8" max="8" width="15.77734375" bestFit="1" customWidth="1"/>
    <col min="9" max="9" width="15.44140625" customWidth="1"/>
  </cols>
  <sheetData>
    <row r="1" spans="1:9" ht="13.8" thickBot="1" x14ac:dyDescent="0.3"/>
    <row r="2" spans="1:9" ht="37.5" customHeight="1" thickTop="1" thickBot="1" x14ac:dyDescent="0.35">
      <c r="A2" s="76" t="s">
        <v>43</v>
      </c>
      <c r="B2" s="77"/>
      <c r="C2" s="77"/>
      <c r="D2" s="77"/>
      <c r="E2" s="77"/>
      <c r="F2" s="78"/>
      <c r="G2" s="3"/>
    </row>
    <row r="3" spans="1:9" ht="78" x14ac:dyDescent="0.3">
      <c r="A3" s="21" t="s">
        <v>44</v>
      </c>
      <c r="B3" s="18" t="s">
        <v>70</v>
      </c>
      <c r="C3" s="18" t="s">
        <v>60</v>
      </c>
      <c r="D3" s="19" t="s">
        <v>45</v>
      </c>
      <c r="E3" s="18" t="s">
        <v>61</v>
      </c>
      <c r="F3" s="22" t="s">
        <v>46</v>
      </c>
    </row>
    <row r="4" spans="1:9" ht="15" x14ac:dyDescent="0.25">
      <c r="A4" s="23" t="s">
        <v>56</v>
      </c>
      <c r="B4" s="20">
        <v>1000</v>
      </c>
      <c r="C4" s="20">
        <f>SUM(I16/4/12)</f>
        <v>392.03382050595241</v>
      </c>
      <c r="D4" s="20">
        <f>SUM(B4+C4)</f>
        <v>1392.0338205059525</v>
      </c>
      <c r="E4" s="20">
        <f>SUM(H16/4/12)</f>
        <v>196.0169102529762</v>
      </c>
      <c r="F4" s="24">
        <f>SUM(B4+E4)</f>
        <v>1196.0169102529762</v>
      </c>
    </row>
    <row r="5" spans="1:9" ht="16.2" thickBot="1" x14ac:dyDescent="0.35">
      <c r="A5" s="25" t="s">
        <v>47</v>
      </c>
      <c r="B5" s="26">
        <f>B4*12*4</f>
        <v>48000</v>
      </c>
      <c r="C5" s="26">
        <f>SUM(C4*12*4)</f>
        <v>18817.623384285715</v>
      </c>
      <c r="D5" s="26">
        <f>SUM(D4*12*4)</f>
        <v>66817.623384285718</v>
      </c>
      <c r="E5" s="26">
        <f>SUM(E4*12*4)</f>
        <v>9408.8116921428573</v>
      </c>
      <c r="F5" s="27">
        <f>SUM(F4*4*12)</f>
        <v>57408.811692142859</v>
      </c>
    </row>
    <row r="6" spans="1:9" ht="13.8" thickTop="1" x14ac:dyDescent="0.25"/>
    <row r="7" spans="1:9" ht="13.8" thickBot="1" x14ac:dyDescent="0.3"/>
    <row r="8" spans="1:9" ht="16.2" thickTop="1" x14ac:dyDescent="0.3">
      <c r="A8" s="79" t="s">
        <v>50</v>
      </c>
      <c r="B8" s="80"/>
      <c r="C8" s="80"/>
      <c r="D8" s="80"/>
      <c r="E8" s="80"/>
      <c r="F8" s="80"/>
      <c r="G8" s="80"/>
      <c r="H8" s="80"/>
      <c r="I8" s="81"/>
    </row>
    <row r="9" spans="1:9" ht="38.25" customHeight="1" x14ac:dyDescent="0.25">
      <c r="A9" s="28" t="s">
        <v>51</v>
      </c>
      <c r="B9" s="15" t="s">
        <v>62</v>
      </c>
      <c r="C9" s="15" t="s">
        <v>63</v>
      </c>
      <c r="D9" s="16" t="s">
        <v>64</v>
      </c>
      <c r="E9" s="15" t="s">
        <v>67</v>
      </c>
      <c r="F9" s="15" t="s">
        <v>68</v>
      </c>
      <c r="G9" s="15" t="s">
        <v>65</v>
      </c>
      <c r="H9" s="17" t="s">
        <v>66</v>
      </c>
      <c r="I9" s="29" t="s">
        <v>69</v>
      </c>
    </row>
    <row r="10" spans="1:9" x14ac:dyDescent="0.25">
      <c r="A10" s="30" t="s">
        <v>29</v>
      </c>
      <c r="B10" s="12">
        <v>8</v>
      </c>
      <c r="C10" s="13">
        <v>15000</v>
      </c>
      <c r="D10" s="11">
        <v>0.2</v>
      </c>
      <c r="E10" s="13">
        <f>SUM(E16*D10)</f>
        <v>3197.134</v>
      </c>
      <c r="F10" s="12">
        <v>5</v>
      </c>
      <c r="G10" s="13">
        <f>SUM(C10-E10)</f>
        <v>11802.866</v>
      </c>
      <c r="H10" s="14">
        <f>SUM(I10*0.5)</f>
        <v>1180.2865999999999</v>
      </c>
      <c r="I10" s="31">
        <f>SUM(G10/F10)</f>
        <v>2360.5731999999998</v>
      </c>
    </row>
    <row r="11" spans="1:9" x14ac:dyDescent="0.25">
      <c r="A11" s="30" t="s">
        <v>48</v>
      </c>
      <c r="B11" s="12">
        <v>20</v>
      </c>
      <c r="C11" s="13">
        <v>40000</v>
      </c>
      <c r="D11" s="11">
        <v>0.05</v>
      </c>
      <c r="E11" s="13">
        <f>SUM(E16*D11)</f>
        <v>799.2835</v>
      </c>
      <c r="F11" s="12">
        <v>20</v>
      </c>
      <c r="G11" s="13">
        <f>SUM(C11-E11)</f>
        <v>39200.716500000002</v>
      </c>
      <c r="H11" s="14">
        <f>SUM(I11*0.5)</f>
        <v>980.01791250000008</v>
      </c>
      <c r="I11" s="31">
        <f>SUM(G11/F11)</f>
        <v>1960.0358250000002</v>
      </c>
    </row>
    <row r="12" spans="1:9" x14ac:dyDescent="0.25">
      <c r="A12" s="30" t="s">
        <v>54</v>
      </c>
      <c r="B12" s="12">
        <v>8</v>
      </c>
      <c r="C12" s="13">
        <v>10000</v>
      </c>
      <c r="D12" s="11">
        <v>0.1</v>
      </c>
      <c r="E12" s="13">
        <f>SUM(E16*D12)</f>
        <v>1598.567</v>
      </c>
      <c r="F12" s="12">
        <v>7</v>
      </c>
      <c r="G12" s="13">
        <f t="shared" ref="G12:G15" si="0">SUM(C12-E12)</f>
        <v>8401.4330000000009</v>
      </c>
      <c r="H12" s="14">
        <f t="shared" ref="H12:H15" si="1">SUM(I12*0.5)</f>
        <v>600.10235714285716</v>
      </c>
      <c r="I12" s="31">
        <f t="shared" ref="I12:I15" si="2">SUM(G12/F12)</f>
        <v>1200.2047142857143</v>
      </c>
    </row>
    <row r="13" spans="1:9" x14ac:dyDescent="0.25">
      <c r="A13" s="30" t="s">
        <v>55</v>
      </c>
      <c r="B13" s="12">
        <v>50</v>
      </c>
      <c r="C13" s="13">
        <v>60000</v>
      </c>
      <c r="D13" s="11">
        <v>0.2</v>
      </c>
      <c r="E13" s="13">
        <f>SUM(E16*D13)</f>
        <v>3197.134</v>
      </c>
      <c r="F13" s="12">
        <v>50</v>
      </c>
      <c r="G13" s="13">
        <f t="shared" si="0"/>
        <v>56802.866000000002</v>
      </c>
      <c r="H13" s="14">
        <f t="shared" si="1"/>
        <v>568.02866000000006</v>
      </c>
      <c r="I13" s="31">
        <f t="shared" si="2"/>
        <v>1136.0573200000001</v>
      </c>
    </row>
    <row r="14" spans="1:9" x14ac:dyDescent="0.25">
      <c r="A14" s="30" t="s">
        <v>49</v>
      </c>
      <c r="B14" s="12">
        <v>20</v>
      </c>
      <c r="C14" s="13">
        <v>100000</v>
      </c>
      <c r="D14" s="11">
        <v>0.4</v>
      </c>
      <c r="E14" s="13">
        <f>SUM(E16*D14)</f>
        <v>6394.268</v>
      </c>
      <c r="F14" s="12">
        <v>10</v>
      </c>
      <c r="G14" s="13">
        <f t="shared" si="0"/>
        <v>93605.732000000004</v>
      </c>
      <c r="H14" s="14">
        <f t="shared" si="1"/>
        <v>4680.2866000000004</v>
      </c>
      <c r="I14" s="31">
        <f t="shared" si="2"/>
        <v>9360.5732000000007</v>
      </c>
    </row>
    <row r="15" spans="1:9" x14ac:dyDescent="0.25">
      <c r="A15" s="30" t="s">
        <v>52</v>
      </c>
      <c r="B15" s="12">
        <v>7</v>
      </c>
      <c r="C15" s="13">
        <v>12000</v>
      </c>
      <c r="D15" s="11">
        <v>0.05</v>
      </c>
      <c r="E15" s="13">
        <f>SUM(E16*D15)</f>
        <v>799.2835</v>
      </c>
      <c r="F15" s="12">
        <v>4</v>
      </c>
      <c r="G15" s="13">
        <f t="shared" si="0"/>
        <v>11200.7165</v>
      </c>
      <c r="H15" s="14">
        <f t="shared" si="1"/>
        <v>1400.0895625000001</v>
      </c>
      <c r="I15" s="31">
        <f t="shared" si="2"/>
        <v>2800.1791250000001</v>
      </c>
    </row>
    <row r="16" spans="1:9" ht="13.8" thickBot="1" x14ac:dyDescent="0.3">
      <c r="A16" s="32" t="s">
        <v>53</v>
      </c>
      <c r="B16" s="33"/>
      <c r="C16" s="34">
        <f>SUM(C10:C15)</f>
        <v>237000</v>
      </c>
      <c r="D16" s="35">
        <f>SUM(D10:D15)</f>
        <v>1</v>
      </c>
      <c r="E16" s="34">
        <v>15985.67</v>
      </c>
      <c r="F16" s="34"/>
      <c r="G16" s="34">
        <f>SUM(G10:G15)</f>
        <v>221014.33000000005</v>
      </c>
      <c r="H16" s="36">
        <f>SUM(H10:H15)</f>
        <v>9408.8116921428573</v>
      </c>
      <c r="I16" s="37">
        <f>SUM(I10:I15)</f>
        <v>18817.623384285715</v>
      </c>
    </row>
    <row r="17" spans="1:9" ht="13.8" thickTop="1" x14ac:dyDescent="0.25"/>
    <row r="18" spans="1:9" ht="12.75" customHeight="1" x14ac:dyDescent="0.25">
      <c r="A18" s="82" t="s">
        <v>71</v>
      </c>
      <c r="B18" s="83"/>
      <c r="C18" s="83"/>
      <c r="D18" s="83"/>
      <c r="E18" s="83"/>
      <c r="F18" s="83"/>
      <c r="G18" s="83"/>
      <c r="H18" s="83"/>
      <c r="I18" s="83"/>
    </row>
    <row r="19" spans="1:9" x14ac:dyDescent="0.25">
      <c r="A19" s="83"/>
      <c r="B19" s="83"/>
      <c r="C19" s="83"/>
      <c r="D19" s="83"/>
      <c r="E19" s="83"/>
      <c r="F19" s="83"/>
      <c r="G19" s="83"/>
      <c r="H19" s="83"/>
      <c r="I19" s="83"/>
    </row>
  </sheetData>
  <mergeCells count="3">
    <mergeCell ref="A2:F2"/>
    <mergeCell ref="A8:I8"/>
    <mergeCell ref="A18:I19"/>
  </mergeCells>
  <pageMargins left="0.2" right="0.23" top="1" bottom="0.52" header="0.5" footer="0.5"/>
  <pageSetup scale="76" orientation="landscape" r:id="rId1"/>
  <headerFooter alignWithMargins="0">
    <oddHeader>&amp;C&amp;"Arial,Bold"&amp;12Oakland Arms Condominium Association, Inc.
for January 1, 2014 to December 31, 2014
Reserves 2014</oddHeader>
    <oddFooter>&amp;L&amp;T&amp;D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9"/>
  <sheetViews>
    <sheetView zoomScaleNormal="100" workbookViewId="0">
      <selection activeCell="E10" sqref="E10"/>
    </sheetView>
  </sheetViews>
  <sheetFormatPr defaultColWidth="8.77734375" defaultRowHeight="13.2" x14ac:dyDescent="0.25"/>
  <cols>
    <col min="1" max="1" width="23" customWidth="1"/>
    <col min="2" max="2" width="18.44140625" customWidth="1"/>
    <col min="3" max="3" width="26.21875" customWidth="1"/>
    <col min="4" max="4" width="19.44140625" customWidth="1"/>
    <col min="5" max="5" width="18.5546875" customWidth="1"/>
    <col min="6" max="6" width="15.21875" customWidth="1"/>
    <col min="7" max="7" width="9.44140625" customWidth="1"/>
    <col min="8" max="8" width="12.44140625" customWidth="1"/>
    <col min="9" max="9" width="13.44140625" customWidth="1"/>
  </cols>
  <sheetData>
    <row r="1" spans="1:9" ht="13.8" thickBot="1" x14ac:dyDescent="0.3"/>
    <row r="2" spans="1:9" ht="37.5" customHeight="1" thickTop="1" thickBot="1" x14ac:dyDescent="0.35">
      <c r="A2" s="76" t="s">
        <v>43</v>
      </c>
      <c r="B2" s="77"/>
      <c r="C2" s="77"/>
      <c r="D2" s="77"/>
      <c r="E2" s="77"/>
      <c r="F2" s="78"/>
      <c r="G2" s="3"/>
    </row>
    <row r="3" spans="1:9" ht="78" x14ac:dyDescent="0.3">
      <c r="A3" s="21" t="s">
        <v>44</v>
      </c>
      <c r="B3" s="18" t="s">
        <v>70</v>
      </c>
      <c r="C3" s="18" t="s">
        <v>60</v>
      </c>
      <c r="D3" s="19" t="s">
        <v>45</v>
      </c>
      <c r="E3" s="18" t="s">
        <v>61</v>
      </c>
      <c r="F3" s="22" t="s">
        <v>46</v>
      </c>
    </row>
    <row r="4" spans="1:9" ht="15" x14ac:dyDescent="0.25">
      <c r="A4" s="23" t="s">
        <v>56</v>
      </c>
      <c r="B4" s="20">
        <f>SUM('2018'!F60)</f>
        <v>1150</v>
      </c>
      <c r="C4" s="20">
        <f>SUM(I16/4/12)</f>
        <v>964.6554116421886</v>
      </c>
      <c r="D4" s="20">
        <f>SUM(B4+C4)</f>
        <v>2114.6554116421885</v>
      </c>
      <c r="E4" s="20">
        <f>SUM(H16/4/12)</f>
        <v>482.3277058210943</v>
      </c>
      <c r="F4" s="24">
        <f>SUM(B4+E4)</f>
        <v>1632.3277058210942</v>
      </c>
    </row>
    <row r="5" spans="1:9" ht="16.2" thickBot="1" x14ac:dyDescent="0.35">
      <c r="A5" s="25" t="s">
        <v>47</v>
      </c>
      <c r="B5" s="26">
        <f>B4*12*4</f>
        <v>55200</v>
      </c>
      <c r="C5" s="26">
        <f>SUM(C4*12*4)</f>
        <v>46303.459758825054</v>
      </c>
      <c r="D5" s="26">
        <f>SUM(D4*12*4)</f>
        <v>101503.45975882505</v>
      </c>
      <c r="E5" s="26">
        <f>SUM(E4*12*4)</f>
        <v>23151.729879412527</v>
      </c>
      <c r="F5" s="27">
        <f>SUM(F4*4*12)</f>
        <v>78351.729879412524</v>
      </c>
    </row>
    <row r="6" spans="1:9" ht="13.8" thickTop="1" x14ac:dyDescent="0.25"/>
    <row r="7" spans="1:9" ht="13.8" thickBot="1" x14ac:dyDescent="0.3"/>
    <row r="8" spans="1:9" ht="16.2" thickTop="1" x14ac:dyDescent="0.3">
      <c r="A8" s="89" t="s">
        <v>99</v>
      </c>
      <c r="B8" s="80"/>
      <c r="C8" s="80"/>
      <c r="D8" s="80"/>
      <c r="E8" s="80"/>
      <c r="F8" s="80"/>
      <c r="G8" s="80"/>
      <c r="H8" s="80"/>
      <c r="I8" s="81"/>
    </row>
    <row r="9" spans="1:9" ht="38.25" customHeight="1" x14ac:dyDescent="0.25">
      <c r="A9" s="28" t="s">
        <v>51</v>
      </c>
      <c r="B9" s="15" t="s">
        <v>62</v>
      </c>
      <c r="C9" s="15" t="s">
        <v>63</v>
      </c>
      <c r="D9" s="16" t="s">
        <v>64</v>
      </c>
      <c r="E9" s="15" t="s">
        <v>109</v>
      </c>
      <c r="F9" s="15" t="s">
        <v>68</v>
      </c>
      <c r="G9" s="15" t="s">
        <v>65</v>
      </c>
      <c r="H9" s="17" t="s">
        <v>100</v>
      </c>
      <c r="I9" s="29" t="s">
        <v>101</v>
      </c>
    </row>
    <row r="10" spans="1:9" x14ac:dyDescent="0.25">
      <c r="A10" s="30" t="s">
        <v>29</v>
      </c>
      <c r="B10" s="12">
        <v>8</v>
      </c>
      <c r="C10" s="13">
        <v>15000</v>
      </c>
      <c r="D10" s="11">
        <v>0.2</v>
      </c>
      <c r="E10" s="13">
        <v>1180.2865999999999</v>
      </c>
      <c r="F10" s="12">
        <v>1</v>
      </c>
      <c r="G10" s="13">
        <f>SUM(C10-E10)</f>
        <v>13819.713400000001</v>
      </c>
      <c r="H10" s="14">
        <f>SUM(I10*0.5)</f>
        <v>6909.8567000000003</v>
      </c>
      <c r="I10" s="31">
        <f>SUM(G10/F10)</f>
        <v>13819.713400000001</v>
      </c>
    </row>
    <row r="11" spans="1:9" x14ac:dyDescent="0.25">
      <c r="A11" s="30" t="s">
        <v>48</v>
      </c>
      <c r="B11" s="12">
        <v>20</v>
      </c>
      <c r="C11" s="13">
        <v>40000</v>
      </c>
      <c r="D11" s="11">
        <v>0.05</v>
      </c>
      <c r="E11" s="13">
        <v>252</v>
      </c>
      <c r="F11" s="12">
        <v>16</v>
      </c>
      <c r="G11" s="13">
        <f>SUM(C11-E11)</f>
        <v>39748</v>
      </c>
      <c r="H11" s="14">
        <f>SUM(I11*0.5)</f>
        <v>1242.125</v>
      </c>
      <c r="I11" s="31">
        <f>SUM(G11/F11)</f>
        <v>2484.25</v>
      </c>
    </row>
    <row r="12" spans="1:9" x14ac:dyDescent="0.25">
      <c r="A12" s="30" t="s">
        <v>54</v>
      </c>
      <c r="B12" s="12">
        <v>8</v>
      </c>
      <c r="C12" s="13">
        <v>10000</v>
      </c>
      <c r="D12" s="11">
        <v>0.1</v>
      </c>
      <c r="E12" s="13">
        <v>0</v>
      </c>
      <c r="F12" s="12">
        <v>7</v>
      </c>
      <c r="G12" s="13">
        <f t="shared" ref="G12:G15" si="0">SUM(C12-E12)</f>
        <v>10000</v>
      </c>
      <c r="H12" s="14">
        <f t="shared" ref="H12:H15" si="1">SUM(I12*0.5)</f>
        <v>714.28571428571433</v>
      </c>
      <c r="I12" s="31">
        <f t="shared" ref="I12:I15" si="2">SUM(G12/F12)</f>
        <v>1428.5714285714287</v>
      </c>
    </row>
    <row r="13" spans="1:9" x14ac:dyDescent="0.25">
      <c r="A13" s="30" t="s">
        <v>55</v>
      </c>
      <c r="B13" s="12">
        <v>50</v>
      </c>
      <c r="C13" s="13">
        <v>60000</v>
      </c>
      <c r="D13" s="11">
        <v>0.2</v>
      </c>
      <c r="E13" s="13">
        <v>0</v>
      </c>
      <c r="F13" s="12">
        <v>46</v>
      </c>
      <c r="G13" s="13">
        <f t="shared" si="0"/>
        <v>60000</v>
      </c>
      <c r="H13" s="14">
        <f t="shared" si="1"/>
        <v>652.17391304347825</v>
      </c>
      <c r="I13" s="31">
        <f t="shared" si="2"/>
        <v>1304.3478260869565</v>
      </c>
    </row>
    <row r="14" spans="1:9" x14ac:dyDescent="0.25">
      <c r="A14" s="30" t="s">
        <v>49</v>
      </c>
      <c r="B14" s="12">
        <v>20</v>
      </c>
      <c r="C14" s="13">
        <v>100000</v>
      </c>
      <c r="D14" s="11">
        <v>0.4</v>
      </c>
      <c r="E14" s="13">
        <v>0</v>
      </c>
      <c r="F14" s="12">
        <v>6</v>
      </c>
      <c r="G14" s="13">
        <f t="shared" si="0"/>
        <v>100000</v>
      </c>
      <c r="H14" s="14">
        <f t="shared" si="1"/>
        <v>8333.3333333333339</v>
      </c>
      <c r="I14" s="31">
        <f t="shared" si="2"/>
        <v>16666.666666666668</v>
      </c>
    </row>
    <row r="15" spans="1:9" x14ac:dyDescent="0.25">
      <c r="A15" s="30" t="s">
        <v>52</v>
      </c>
      <c r="B15" s="12">
        <v>7</v>
      </c>
      <c r="C15" s="13">
        <v>12000</v>
      </c>
      <c r="D15" s="11">
        <v>0.05</v>
      </c>
      <c r="E15" s="13">
        <v>1400.0895625000001</v>
      </c>
      <c r="F15" s="43">
        <v>1</v>
      </c>
      <c r="G15" s="13">
        <f t="shared" si="0"/>
        <v>10599.910437500001</v>
      </c>
      <c r="H15" s="14">
        <f t="shared" si="1"/>
        <v>5299.9552187500003</v>
      </c>
      <c r="I15" s="31">
        <f t="shared" si="2"/>
        <v>10599.910437500001</v>
      </c>
    </row>
    <row r="16" spans="1:9" ht="13.8" thickBot="1" x14ac:dyDescent="0.3">
      <c r="A16" s="32" t="s">
        <v>53</v>
      </c>
      <c r="B16" s="33"/>
      <c r="C16" s="34">
        <f>SUM(C10:C15)</f>
        <v>237000</v>
      </c>
      <c r="D16" s="35">
        <f>SUM(D10:D15)</f>
        <v>1</v>
      </c>
      <c r="E16" s="34">
        <v>9408.8116921428573</v>
      </c>
      <c r="F16" s="34"/>
      <c r="G16" s="34">
        <f>SUM(G10:G15)</f>
        <v>234167.6238375</v>
      </c>
      <c r="H16" s="36">
        <f>SUM(H10:H15)</f>
        <v>23151.729879412527</v>
      </c>
      <c r="I16" s="37">
        <f>SUM(I10:I15)</f>
        <v>46303.459758825054</v>
      </c>
    </row>
    <row r="17" spans="1:9" ht="14.4" thickTop="1" thickBot="1" x14ac:dyDescent="0.3"/>
    <row r="18" spans="1:9" ht="12.75" customHeight="1" x14ac:dyDescent="0.25">
      <c r="A18" s="90" t="s">
        <v>71</v>
      </c>
      <c r="B18" s="91"/>
      <c r="C18" s="91"/>
      <c r="D18" s="91"/>
      <c r="E18" s="91"/>
      <c r="F18" s="91"/>
      <c r="G18" s="91"/>
      <c r="H18" s="91"/>
      <c r="I18" s="92"/>
    </row>
    <row r="19" spans="1:9" ht="13.8" thickBot="1" x14ac:dyDescent="0.3">
      <c r="A19" s="93"/>
      <c r="B19" s="94"/>
      <c r="C19" s="94"/>
      <c r="D19" s="94"/>
      <c r="E19" s="94"/>
      <c r="F19" s="94"/>
      <c r="G19" s="94"/>
      <c r="H19" s="94"/>
      <c r="I19" s="95"/>
    </row>
  </sheetData>
  <mergeCells count="3">
    <mergeCell ref="A2:F2"/>
    <mergeCell ref="A8:I8"/>
    <mergeCell ref="A18:I19"/>
  </mergeCells>
  <pageMargins left="0.2" right="0.23" top="1" bottom="0.52" header="0.5" footer="0.5"/>
  <pageSetup scale="76" orientation="landscape" r:id="rId1"/>
  <headerFooter alignWithMargins="0">
    <oddHeader>&amp;C&amp;"Arial,Bold"&amp;12Oakland Arms Condominium Association, Inc.
Reserves 2017</oddHeader>
    <oddFooter>&amp;L&amp;T&amp;D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875E7-3B0F-49D5-8FB7-CCBA11BEBFFF}">
  <dimension ref="A1:G53"/>
  <sheetViews>
    <sheetView view="pageBreakPreview" topLeftCell="A31" zoomScale="60" zoomScaleNormal="100" workbookViewId="0">
      <selection activeCell="D6" sqref="D6"/>
    </sheetView>
  </sheetViews>
  <sheetFormatPr defaultColWidth="9.21875" defaultRowHeight="15" x14ac:dyDescent="0.25"/>
  <cols>
    <col min="1" max="1" width="39.5546875" style="2" customWidth="1"/>
    <col min="2" max="2" width="25.21875" style="7" customWidth="1"/>
    <col min="3" max="3" width="21.44140625" style="7" customWidth="1"/>
    <col min="4" max="4" width="20.77734375" style="2" customWidth="1"/>
    <col min="5" max="16384" width="9.21875" style="2"/>
  </cols>
  <sheetData>
    <row r="1" spans="1:7" ht="15" customHeight="1" x14ac:dyDescent="0.25">
      <c r="A1" s="96" t="s">
        <v>113</v>
      </c>
      <c r="B1" s="96"/>
      <c r="C1" s="96"/>
      <c r="D1" s="96"/>
    </row>
    <row r="2" spans="1:7" ht="15" customHeight="1" x14ac:dyDescent="0.25">
      <c r="A2" s="96"/>
      <c r="B2" s="96"/>
      <c r="C2" s="96"/>
      <c r="D2" s="96"/>
    </row>
    <row r="4" spans="1:7" ht="31.2" x14ac:dyDescent="0.3">
      <c r="B4" s="41" t="s">
        <v>87</v>
      </c>
      <c r="C4" s="41" t="s">
        <v>80</v>
      </c>
      <c r="D4" s="41" t="s">
        <v>87</v>
      </c>
    </row>
    <row r="5" spans="1:7" ht="15.6" x14ac:dyDescent="0.3">
      <c r="B5" s="46">
        <v>2018</v>
      </c>
      <c r="C5" s="46">
        <v>2018</v>
      </c>
      <c r="D5" s="46">
        <v>2019</v>
      </c>
    </row>
    <row r="6" spans="1:7" ht="15.6" x14ac:dyDescent="0.3">
      <c r="A6" s="1" t="s">
        <v>0</v>
      </c>
      <c r="D6" s="7"/>
    </row>
    <row r="7" spans="1:7" x14ac:dyDescent="0.25">
      <c r="A7" s="2" t="s">
        <v>57</v>
      </c>
      <c r="B7" s="7">
        <v>1800</v>
      </c>
      <c r="C7" s="7">
        <v>4535</v>
      </c>
      <c r="D7" s="7">
        <v>4000</v>
      </c>
    </row>
    <row r="8" spans="1:7" x14ac:dyDescent="0.25">
      <c r="A8" s="2" t="s">
        <v>21</v>
      </c>
      <c r="B8" s="7">
        <v>5</v>
      </c>
      <c r="C8" s="7">
        <v>2</v>
      </c>
      <c r="D8" s="7">
        <v>5</v>
      </c>
    </row>
    <row r="9" spans="1:7" x14ac:dyDescent="0.25">
      <c r="A9" s="2" t="s">
        <v>22</v>
      </c>
      <c r="B9" s="7">
        <v>0</v>
      </c>
      <c r="C9" s="7">
        <v>0</v>
      </c>
      <c r="D9" s="7">
        <v>50</v>
      </c>
    </row>
    <row r="10" spans="1:7" x14ac:dyDescent="0.25">
      <c r="A10" s="2" t="s">
        <v>23</v>
      </c>
      <c r="B10" s="7">
        <v>500</v>
      </c>
      <c r="C10" s="7">
        <v>1155</v>
      </c>
      <c r="D10" s="7">
        <v>1600</v>
      </c>
    </row>
    <row r="11" spans="1:7" x14ac:dyDescent="0.25">
      <c r="A11" s="2" t="s">
        <v>72</v>
      </c>
      <c r="B11" s="7">
        <v>56400</v>
      </c>
      <c r="C11" s="7">
        <v>56400</v>
      </c>
      <c r="D11" s="7">
        <f>1250*4*12</f>
        <v>60000</v>
      </c>
      <c r="G11" s="2">
        <f>1250*2*12</f>
        <v>30000</v>
      </c>
    </row>
    <row r="12" spans="1:7" ht="15.6" thickBot="1" x14ac:dyDescent="0.3">
      <c r="A12" s="2" t="s">
        <v>96</v>
      </c>
      <c r="B12" s="8">
        <v>0</v>
      </c>
      <c r="C12" s="8">
        <v>3000</v>
      </c>
      <c r="D12" s="8">
        <v>0</v>
      </c>
      <c r="G12" s="2">
        <f>1100*2*12</f>
        <v>26400</v>
      </c>
    </row>
    <row r="13" spans="1:7" s="1" customFormat="1" ht="15.6" x14ac:dyDescent="0.3">
      <c r="A13" s="1" t="s">
        <v>3</v>
      </c>
      <c r="B13" s="47">
        <f>SUM(B7:B12)</f>
        <v>58705</v>
      </c>
      <c r="C13" s="47">
        <f>SUM(C7:C12)</f>
        <v>65092</v>
      </c>
      <c r="D13" s="47">
        <f>SUM(D7:D12)</f>
        <v>65655</v>
      </c>
    </row>
    <row r="14" spans="1:7" ht="15.6" x14ac:dyDescent="0.3">
      <c r="A14" s="1" t="s">
        <v>4</v>
      </c>
      <c r="D14" s="7"/>
    </row>
    <row r="15" spans="1:7" ht="15.6" x14ac:dyDescent="0.3">
      <c r="A15" s="1" t="s">
        <v>5</v>
      </c>
      <c r="D15" s="7"/>
    </row>
    <row r="16" spans="1:7" x14ac:dyDescent="0.25">
      <c r="A16" s="2" t="s">
        <v>24</v>
      </c>
      <c r="B16" s="7">
        <v>2000</v>
      </c>
      <c r="C16" s="7">
        <v>1700</v>
      </c>
      <c r="D16" s="7">
        <v>1800</v>
      </c>
    </row>
    <row r="17" spans="1:6" x14ac:dyDescent="0.25">
      <c r="A17" s="2" t="s">
        <v>6</v>
      </c>
      <c r="B17" s="7">
        <v>100</v>
      </c>
      <c r="C17" s="7">
        <v>136</v>
      </c>
      <c r="D17" s="7">
        <v>150</v>
      </c>
    </row>
    <row r="18" spans="1:6" x14ac:dyDescent="0.25">
      <c r="A18" s="2" t="s">
        <v>89</v>
      </c>
      <c r="B18" s="7">
        <v>500</v>
      </c>
      <c r="C18" s="7">
        <v>0</v>
      </c>
      <c r="D18" s="7">
        <v>350</v>
      </c>
    </row>
    <row r="19" spans="1:6" x14ac:dyDescent="0.25">
      <c r="A19" s="2" t="s">
        <v>12</v>
      </c>
      <c r="B19" s="7">
        <v>400</v>
      </c>
      <c r="C19" s="7">
        <v>390</v>
      </c>
      <c r="D19" s="7">
        <v>400</v>
      </c>
    </row>
    <row r="20" spans="1:6" x14ac:dyDescent="0.25">
      <c r="A20" s="2" t="s">
        <v>7</v>
      </c>
      <c r="B20" s="7">
        <v>62</v>
      </c>
      <c r="C20" s="7">
        <v>61.25</v>
      </c>
      <c r="D20" s="7">
        <v>62</v>
      </c>
    </row>
    <row r="21" spans="1:6" ht="15.6" thickBot="1" x14ac:dyDescent="0.3">
      <c r="A21" s="2" t="s">
        <v>39</v>
      </c>
      <c r="B21" s="8">
        <v>2400</v>
      </c>
      <c r="C21" s="8">
        <v>3150</v>
      </c>
      <c r="D21" s="8">
        <v>3000</v>
      </c>
    </row>
    <row r="22" spans="1:6" s="1" customFormat="1" ht="15.6" x14ac:dyDescent="0.3">
      <c r="A22" s="1" t="s">
        <v>19</v>
      </c>
      <c r="B22" s="47">
        <f>SUM(B16:B21)</f>
        <v>5462</v>
      </c>
      <c r="C22" s="47">
        <f>SUM(C16:C21)</f>
        <v>5437.25</v>
      </c>
      <c r="D22" s="47">
        <f>SUM(D16:D21)</f>
        <v>5762</v>
      </c>
    </row>
    <row r="23" spans="1:6" x14ac:dyDescent="0.25">
      <c r="D23" s="7"/>
    </row>
    <row r="24" spans="1:6" s="1" customFormat="1" ht="15.6" x14ac:dyDescent="0.3">
      <c r="A24" s="1" t="s">
        <v>8</v>
      </c>
      <c r="B24" s="48">
        <v>18468</v>
      </c>
      <c r="C24" s="48">
        <v>18700</v>
      </c>
      <c r="D24" s="48">
        <v>19553</v>
      </c>
    </row>
    <row r="25" spans="1:6" x14ac:dyDescent="0.25">
      <c r="D25" s="7" t="s">
        <v>40</v>
      </c>
    </row>
    <row r="26" spans="1:6" ht="15.6" x14ac:dyDescent="0.3">
      <c r="A26" s="1" t="s">
        <v>9</v>
      </c>
      <c r="D26" s="7"/>
    </row>
    <row r="27" spans="1:6" x14ac:dyDescent="0.25">
      <c r="A27" s="2" t="s">
        <v>27</v>
      </c>
      <c r="B27" s="7">
        <v>500</v>
      </c>
      <c r="C27" s="7">
        <v>1370</v>
      </c>
      <c r="D27" s="7">
        <v>500</v>
      </c>
    </row>
    <row r="28" spans="1:6" x14ac:dyDescent="0.25">
      <c r="A28" s="2" t="s">
        <v>28</v>
      </c>
      <c r="B28" s="7">
        <v>2000</v>
      </c>
      <c r="C28" s="7">
        <v>1600</v>
      </c>
      <c r="D28" s="7">
        <v>1600</v>
      </c>
    </row>
    <row r="29" spans="1:6" x14ac:dyDescent="0.25">
      <c r="A29" s="2" t="s">
        <v>30</v>
      </c>
      <c r="B29" s="7">
        <v>200</v>
      </c>
      <c r="C29" s="7">
        <v>0</v>
      </c>
      <c r="D29" s="7">
        <v>0</v>
      </c>
    </row>
    <row r="30" spans="1:6" x14ac:dyDescent="0.25">
      <c r="A30" s="2" t="s">
        <v>31</v>
      </c>
      <c r="B30" s="7">
        <v>500</v>
      </c>
      <c r="C30" s="7">
        <v>1800</v>
      </c>
      <c r="D30" s="7">
        <v>500</v>
      </c>
    </row>
    <row r="31" spans="1:6" x14ac:dyDescent="0.25">
      <c r="A31" s="2" t="s">
        <v>32</v>
      </c>
      <c r="B31" s="7">
        <v>75</v>
      </c>
      <c r="C31" s="7">
        <v>0</v>
      </c>
      <c r="D31" s="7">
        <v>0</v>
      </c>
    </row>
    <row r="32" spans="1:6" ht="15.6" x14ac:dyDescent="0.3">
      <c r="A32" s="2" t="s">
        <v>33</v>
      </c>
      <c r="B32" s="7">
        <v>100</v>
      </c>
      <c r="C32" s="7">
        <v>53</v>
      </c>
      <c r="D32" s="7">
        <v>100</v>
      </c>
      <c r="F32" s="49"/>
    </row>
    <row r="33" spans="1:6" ht="16.2" thickBot="1" x14ac:dyDescent="0.35">
      <c r="A33" s="2" t="s">
        <v>34</v>
      </c>
      <c r="B33" s="8">
        <v>400</v>
      </c>
      <c r="C33" s="8">
        <v>1075</v>
      </c>
      <c r="D33" s="8">
        <v>1000</v>
      </c>
      <c r="F33" s="49"/>
    </row>
    <row r="34" spans="1:6" s="1" customFormat="1" ht="15.6" x14ac:dyDescent="0.3">
      <c r="A34" s="1" t="s">
        <v>18</v>
      </c>
      <c r="B34" s="47">
        <f>SUM(B27:B33)</f>
        <v>3775</v>
      </c>
      <c r="C34" s="47">
        <f>SUM(C27:C33)</f>
        <v>5898</v>
      </c>
      <c r="D34" s="47">
        <f>SUM(D27:D33)</f>
        <v>3700</v>
      </c>
    </row>
    <row r="35" spans="1:6" x14ac:dyDescent="0.25">
      <c r="D35" s="7"/>
    </row>
    <row r="36" spans="1:6" ht="15.6" x14ac:dyDescent="0.3">
      <c r="A36" s="1" t="s">
        <v>35</v>
      </c>
      <c r="D36" s="7"/>
    </row>
    <row r="37" spans="1:6" x14ac:dyDescent="0.25">
      <c r="A37" s="2" t="s">
        <v>10</v>
      </c>
      <c r="B37" s="7">
        <v>3500</v>
      </c>
      <c r="C37" s="7">
        <v>5535</v>
      </c>
      <c r="D37" s="7">
        <v>4500</v>
      </c>
    </row>
    <row r="38" spans="1:6" x14ac:dyDescent="0.25">
      <c r="A38" s="2" t="s">
        <v>36</v>
      </c>
      <c r="B38" s="7">
        <v>200</v>
      </c>
      <c r="C38" s="7">
        <v>0</v>
      </c>
      <c r="D38" s="7">
        <v>200</v>
      </c>
    </row>
    <row r="39" spans="1:6" x14ac:dyDescent="0.25">
      <c r="A39" s="2" t="s">
        <v>37</v>
      </c>
      <c r="B39" s="7">
        <v>2500</v>
      </c>
      <c r="C39" s="7">
        <v>2300</v>
      </c>
      <c r="D39" s="7">
        <v>2300</v>
      </c>
    </row>
    <row r="40" spans="1:6" x14ac:dyDescent="0.25">
      <c r="A40" s="2" t="s">
        <v>41</v>
      </c>
      <c r="B40" s="7">
        <f>150*12</f>
        <v>1800</v>
      </c>
      <c r="C40" s="7">
        <v>2990</v>
      </c>
      <c r="D40" s="7">
        <v>2990</v>
      </c>
    </row>
    <row r="41" spans="1:6" ht="15.6" thickBot="1" x14ac:dyDescent="0.3">
      <c r="A41" s="2" t="s">
        <v>11</v>
      </c>
      <c r="B41" s="8">
        <v>100</v>
      </c>
      <c r="C41" s="8">
        <v>0</v>
      </c>
      <c r="D41" s="8">
        <v>0</v>
      </c>
    </row>
    <row r="42" spans="1:6" ht="15.6" x14ac:dyDescent="0.3">
      <c r="A42" s="1" t="s">
        <v>38</v>
      </c>
      <c r="B42" s="47">
        <f>SUM(B37:B41)</f>
        <v>8100</v>
      </c>
      <c r="C42" s="47">
        <f>SUM(C37:C41)</f>
        <v>10825</v>
      </c>
      <c r="D42" s="47">
        <f>SUM(D37:D41)</f>
        <v>9990</v>
      </c>
    </row>
    <row r="43" spans="1:6" x14ac:dyDescent="0.25">
      <c r="D43" s="7"/>
    </row>
    <row r="44" spans="1:6" ht="15.6" x14ac:dyDescent="0.3">
      <c r="A44" s="1" t="s">
        <v>13</v>
      </c>
      <c r="D44" s="7"/>
    </row>
    <row r="45" spans="1:6" x14ac:dyDescent="0.25">
      <c r="A45" s="2" t="s">
        <v>14</v>
      </c>
      <c r="B45" s="7">
        <v>7600</v>
      </c>
      <c r="C45" s="7">
        <v>9800</v>
      </c>
      <c r="D45" s="7">
        <v>9800</v>
      </c>
    </row>
    <row r="46" spans="1:6" x14ac:dyDescent="0.25">
      <c r="A46" s="2" t="s">
        <v>26</v>
      </c>
      <c r="B46" s="7">
        <v>1300</v>
      </c>
      <c r="C46" s="7">
        <v>0</v>
      </c>
      <c r="D46" s="7">
        <v>500</v>
      </c>
    </row>
    <row r="47" spans="1:6" x14ac:dyDescent="0.25">
      <c r="A47" s="2" t="s">
        <v>25</v>
      </c>
      <c r="B47" s="7">
        <v>8700</v>
      </c>
      <c r="C47" s="7">
        <v>13000</v>
      </c>
      <c r="D47" s="7">
        <v>13000</v>
      </c>
    </row>
    <row r="48" spans="1:6" ht="15.6" thickBot="1" x14ac:dyDescent="0.3">
      <c r="A48" s="2" t="s">
        <v>15</v>
      </c>
      <c r="B48" s="8">
        <v>1700</v>
      </c>
      <c r="C48" s="8">
        <v>3320</v>
      </c>
      <c r="D48" s="8">
        <v>3350</v>
      </c>
    </row>
    <row r="49" spans="1:6" s="1" customFormat="1" ht="15.6" x14ac:dyDescent="0.3">
      <c r="A49" s="1" t="s">
        <v>16</v>
      </c>
      <c r="B49" s="47">
        <f>SUM(B45:B48)</f>
        <v>19300</v>
      </c>
      <c r="C49" s="47">
        <f>SUM(C45:C48)</f>
        <v>26120</v>
      </c>
      <c r="D49" s="47">
        <f>SUM(D45:D48)</f>
        <v>26650</v>
      </c>
    </row>
    <row r="50" spans="1:6" s="1" customFormat="1" ht="15.6" x14ac:dyDescent="0.3">
      <c r="A50" s="1" t="s">
        <v>17</v>
      </c>
      <c r="B50" s="47">
        <f>SUM(B22+B24+B34+B42+B49)</f>
        <v>55105</v>
      </c>
      <c r="C50" s="47">
        <f>SUM(C49+C42+C34+C24+C22)</f>
        <v>66980.25</v>
      </c>
      <c r="D50" s="47">
        <f>SUM(D22+D24+D34+D42+D49)</f>
        <v>65655</v>
      </c>
    </row>
    <row r="51" spans="1:6" ht="15.6" thickBot="1" x14ac:dyDescent="0.3"/>
    <row r="52" spans="1:6" ht="16.2" thickBot="1" x14ac:dyDescent="0.35">
      <c r="A52" s="97" t="s">
        <v>114</v>
      </c>
      <c r="B52" s="98"/>
      <c r="C52" s="99"/>
      <c r="F52" s="2">
        <v>1150</v>
      </c>
    </row>
    <row r="53" spans="1:6" x14ac:dyDescent="0.25">
      <c r="A53" s="2" t="s">
        <v>40</v>
      </c>
    </row>
  </sheetData>
  <mergeCells count="2">
    <mergeCell ref="A1:D2"/>
    <mergeCell ref="A52:C52"/>
  </mergeCells>
  <pageMargins left="0.75" right="0.75" top="0.52" bottom="0.35" header="0.5" footer="0.5"/>
  <pageSetup scale="79" orientation="portrait" r:id="rId1"/>
  <headerFooter alignWithMargins="0"/>
  <rowBreaks count="1" manualBreakCount="1">
    <brk id="53" max="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74615-0045-4EFD-9CBE-321616A0BA7D}">
  <dimension ref="A1:I19"/>
  <sheetViews>
    <sheetView zoomScaleNormal="100" workbookViewId="0">
      <selection activeCell="B5" sqref="B5"/>
    </sheetView>
  </sheetViews>
  <sheetFormatPr defaultColWidth="8.77734375" defaultRowHeight="13.2" x14ac:dyDescent="0.25"/>
  <cols>
    <col min="1" max="1" width="23" customWidth="1"/>
    <col min="2" max="2" width="18.44140625" customWidth="1"/>
    <col min="3" max="3" width="26.21875" customWidth="1"/>
    <col min="4" max="4" width="19.44140625" customWidth="1"/>
    <col min="5" max="5" width="18.5546875" customWidth="1"/>
    <col min="6" max="6" width="15.21875" customWidth="1"/>
    <col min="7" max="7" width="9.44140625" customWidth="1"/>
    <col min="8" max="8" width="12.44140625" customWidth="1"/>
    <col min="9" max="9" width="13.44140625" customWidth="1"/>
  </cols>
  <sheetData>
    <row r="1" spans="1:9" ht="13.8" thickBot="1" x14ac:dyDescent="0.3"/>
    <row r="2" spans="1:9" ht="37.5" customHeight="1" thickTop="1" thickBot="1" x14ac:dyDescent="0.35">
      <c r="A2" s="76" t="s">
        <v>43</v>
      </c>
      <c r="B2" s="77"/>
      <c r="C2" s="77"/>
      <c r="D2" s="77"/>
      <c r="E2" s="77"/>
      <c r="F2" s="78"/>
      <c r="G2" s="3"/>
    </row>
    <row r="3" spans="1:9" ht="78" x14ac:dyDescent="0.3">
      <c r="A3" s="21" t="s">
        <v>44</v>
      </c>
      <c r="B3" s="18" t="s">
        <v>70</v>
      </c>
      <c r="C3" s="18" t="s">
        <v>60</v>
      </c>
      <c r="D3" s="19" t="s">
        <v>45</v>
      </c>
      <c r="E3" s="18" t="s">
        <v>61</v>
      </c>
      <c r="F3" s="22" t="s">
        <v>46</v>
      </c>
    </row>
    <row r="4" spans="1:9" ht="15" x14ac:dyDescent="0.25">
      <c r="A4" s="23" t="s">
        <v>56</v>
      </c>
      <c r="B4" s="20">
        <v>1250</v>
      </c>
      <c r="C4" s="20">
        <f>SUM(I16/4/12)</f>
        <v>964.6554116421886</v>
      </c>
      <c r="D4" s="20">
        <f>SUM(B4+C4)</f>
        <v>2214.6554116421885</v>
      </c>
      <c r="E4" s="20">
        <f>SUM(H16/4/12)</f>
        <v>482.3277058210943</v>
      </c>
      <c r="F4" s="24">
        <f>SUM(B4+E4)</f>
        <v>1732.3277058210942</v>
      </c>
    </row>
    <row r="5" spans="1:9" ht="16.2" thickBot="1" x14ac:dyDescent="0.35">
      <c r="A5" s="25" t="s">
        <v>47</v>
      </c>
      <c r="B5" s="26">
        <f>B4*12*4</f>
        <v>60000</v>
      </c>
      <c r="C5" s="26">
        <f>SUM(C4*12*4)</f>
        <v>46303.459758825054</v>
      </c>
      <c r="D5" s="26">
        <f>SUM(D4*12*4)</f>
        <v>106303.45975882505</v>
      </c>
      <c r="E5" s="26">
        <f>SUM(E4*12*4)</f>
        <v>23151.729879412527</v>
      </c>
      <c r="F5" s="27">
        <f>SUM(F4*4*12)</f>
        <v>83151.729879412524</v>
      </c>
    </row>
    <row r="6" spans="1:9" ht="13.8" thickTop="1" x14ac:dyDescent="0.25"/>
    <row r="7" spans="1:9" ht="13.8" thickBot="1" x14ac:dyDescent="0.3"/>
    <row r="8" spans="1:9" ht="16.2" thickTop="1" x14ac:dyDescent="0.3">
      <c r="A8" s="89" t="s">
        <v>111</v>
      </c>
      <c r="B8" s="80"/>
      <c r="C8" s="80"/>
      <c r="D8" s="80"/>
      <c r="E8" s="80"/>
      <c r="F8" s="80"/>
      <c r="G8" s="80"/>
      <c r="H8" s="80"/>
      <c r="I8" s="81"/>
    </row>
    <row r="9" spans="1:9" ht="38.25" customHeight="1" x14ac:dyDescent="0.25">
      <c r="A9" s="28" t="s">
        <v>51</v>
      </c>
      <c r="B9" s="15" t="s">
        <v>62</v>
      </c>
      <c r="C9" s="15" t="s">
        <v>63</v>
      </c>
      <c r="D9" s="16" t="s">
        <v>64</v>
      </c>
      <c r="E9" s="15" t="s">
        <v>112</v>
      </c>
      <c r="F9" s="15" t="s">
        <v>68</v>
      </c>
      <c r="G9" s="15" t="s">
        <v>65</v>
      </c>
      <c r="H9" s="17" t="s">
        <v>100</v>
      </c>
      <c r="I9" s="29" t="s">
        <v>101</v>
      </c>
    </row>
    <row r="10" spans="1:9" x14ac:dyDescent="0.25">
      <c r="A10" s="30" t="s">
        <v>29</v>
      </c>
      <c r="B10" s="12">
        <v>8</v>
      </c>
      <c r="C10" s="13">
        <v>15000</v>
      </c>
      <c r="D10" s="11">
        <v>0.2</v>
      </c>
      <c r="E10" s="13">
        <v>1180.2865999999999</v>
      </c>
      <c r="F10" s="12">
        <v>1</v>
      </c>
      <c r="G10" s="13">
        <f>SUM(C10-E10)</f>
        <v>13819.713400000001</v>
      </c>
      <c r="H10" s="14">
        <f>SUM(I10*0.5)</f>
        <v>6909.8567000000003</v>
      </c>
      <c r="I10" s="31">
        <f>SUM(G10/F10)</f>
        <v>13819.713400000001</v>
      </c>
    </row>
    <row r="11" spans="1:9" x14ac:dyDescent="0.25">
      <c r="A11" s="30" t="s">
        <v>48</v>
      </c>
      <c r="B11" s="12">
        <v>20</v>
      </c>
      <c r="C11" s="13">
        <v>40000</v>
      </c>
      <c r="D11" s="11">
        <v>0.05</v>
      </c>
      <c r="E11" s="13">
        <v>252</v>
      </c>
      <c r="F11" s="12">
        <v>16</v>
      </c>
      <c r="G11" s="13">
        <f>SUM(C11-E11)</f>
        <v>39748</v>
      </c>
      <c r="H11" s="14">
        <f>SUM(I11*0.5)</f>
        <v>1242.125</v>
      </c>
      <c r="I11" s="31">
        <f>SUM(G11/F11)</f>
        <v>2484.25</v>
      </c>
    </row>
    <row r="12" spans="1:9" x14ac:dyDescent="0.25">
      <c r="A12" s="30" t="s">
        <v>54</v>
      </c>
      <c r="B12" s="12">
        <v>8</v>
      </c>
      <c r="C12" s="13">
        <v>10000</v>
      </c>
      <c r="D12" s="11">
        <v>0.1</v>
      </c>
      <c r="E12" s="13">
        <v>0</v>
      </c>
      <c r="F12" s="12">
        <v>7</v>
      </c>
      <c r="G12" s="13">
        <f t="shared" ref="G12:G15" si="0">SUM(C12-E12)</f>
        <v>10000</v>
      </c>
      <c r="H12" s="14">
        <f t="shared" ref="H12:H15" si="1">SUM(I12*0.5)</f>
        <v>714.28571428571433</v>
      </c>
      <c r="I12" s="31">
        <f t="shared" ref="I12:I15" si="2">SUM(G12/F12)</f>
        <v>1428.5714285714287</v>
      </c>
    </row>
    <row r="13" spans="1:9" x14ac:dyDescent="0.25">
      <c r="A13" s="30" t="s">
        <v>55</v>
      </c>
      <c r="B13" s="12">
        <v>50</v>
      </c>
      <c r="C13" s="13">
        <v>60000</v>
      </c>
      <c r="D13" s="11">
        <v>0.2</v>
      </c>
      <c r="E13" s="13">
        <v>0</v>
      </c>
      <c r="F13" s="12">
        <v>46</v>
      </c>
      <c r="G13" s="13">
        <f t="shared" si="0"/>
        <v>60000</v>
      </c>
      <c r="H13" s="14">
        <f t="shared" si="1"/>
        <v>652.17391304347825</v>
      </c>
      <c r="I13" s="31">
        <f t="shared" si="2"/>
        <v>1304.3478260869565</v>
      </c>
    </row>
    <row r="14" spans="1:9" x14ac:dyDescent="0.25">
      <c r="A14" s="30" t="s">
        <v>49</v>
      </c>
      <c r="B14" s="12">
        <v>20</v>
      </c>
      <c r="C14" s="13">
        <v>100000</v>
      </c>
      <c r="D14" s="11">
        <v>0.4</v>
      </c>
      <c r="E14" s="13">
        <v>0</v>
      </c>
      <c r="F14" s="12">
        <v>6</v>
      </c>
      <c r="G14" s="13">
        <f t="shared" si="0"/>
        <v>100000</v>
      </c>
      <c r="H14" s="14">
        <f t="shared" si="1"/>
        <v>8333.3333333333339</v>
      </c>
      <c r="I14" s="31">
        <f t="shared" si="2"/>
        <v>16666.666666666668</v>
      </c>
    </row>
    <row r="15" spans="1:9" x14ac:dyDescent="0.25">
      <c r="A15" s="30" t="s">
        <v>52</v>
      </c>
      <c r="B15" s="12">
        <v>7</v>
      </c>
      <c r="C15" s="13">
        <v>12000</v>
      </c>
      <c r="D15" s="11">
        <v>0.05</v>
      </c>
      <c r="E15" s="13">
        <v>1400.0895625000001</v>
      </c>
      <c r="F15" s="43">
        <v>1</v>
      </c>
      <c r="G15" s="13">
        <f t="shared" si="0"/>
        <v>10599.910437500001</v>
      </c>
      <c r="H15" s="14">
        <f t="shared" si="1"/>
        <v>5299.9552187500003</v>
      </c>
      <c r="I15" s="31">
        <f t="shared" si="2"/>
        <v>10599.910437500001</v>
      </c>
    </row>
    <row r="16" spans="1:9" ht="13.8" thickBot="1" x14ac:dyDescent="0.3">
      <c r="A16" s="32" t="s">
        <v>53</v>
      </c>
      <c r="B16" s="33"/>
      <c r="C16" s="34">
        <f>SUM(C10:C15)</f>
        <v>237000</v>
      </c>
      <c r="D16" s="35">
        <f>SUM(D10:D15)</f>
        <v>1</v>
      </c>
      <c r="E16" s="34">
        <v>9408.8116921428573</v>
      </c>
      <c r="F16" s="34"/>
      <c r="G16" s="34">
        <f>SUM(G10:G15)</f>
        <v>234167.6238375</v>
      </c>
      <c r="H16" s="36">
        <f>SUM(H10:H15)</f>
        <v>23151.729879412527</v>
      </c>
      <c r="I16" s="37">
        <f>SUM(I10:I15)</f>
        <v>46303.459758825054</v>
      </c>
    </row>
    <row r="17" spans="1:9" ht="14.4" thickTop="1" thickBot="1" x14ac:dyDescent="0.3"/>
    <row r="18" spans="1:9" ht="12.75" customHeight="1" x14ac:dyDescent="0.25">
      <c r="A18" s="90" t="s">
        <v>71</v>
      </c>
      <c r="B18" s="91"/>
      <c r="C18" s="91"/>
      <c r="D18" s="91"/>
      <c r="E18" s="91"/>
      <c r="F18" s="91"/>
      <c r="G18" s="91"/>
      <c r="H18" s="91"/>
      <c r="I18" s="92"/>
    </row>
    <row r="19" spans="1:9" ht="13.8" thickBot="1" x14ac:dyDescent="0.3">
      <c r="A19" s="93"/>
      <c r="B19" s="94"/>
      <c r="C19" s="94"/>
      <c r="D19" s="94"/>
      <c r="E19" s="94"/>
      <c r="F19" s="94"/>
      <c r="G19" s="94"/>
      <c r="H19" s="94"/>
      <c r="I19" s="95"/>
    </row>
  </sheetData>
  <mergeCells count="3">
    <mergeCell ref="A2:F2"/>
    <mergeCell ref="A8:I8"/>
    <mergeCell ref="A18:I19"/>
  </mergeCells>
  <pageMargins left="0.2" right="0.23" top="1" bottom="0.52" header="0.5" footer="0.5"/>
  <pageSetup scale="76" orientation="landscape" r:id="rId1"/>
  <headerFooter alignWithMargins="0">
    <oddHeader xml:space="preserve">&amp;C&amp;"Arial,Bold"&amp;12Oakland Arms Condominium Association, Inc.
Reserves 2019
</oddHeader>
    <oddFooter>&amp;L&amp;T&amp;D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9D351-9FE6-E34B-A371-B41E41C92923}">
  <dimension ref="A1:G54"/>
  <sheetViews>
    <sheetView view="pageBreakPreview" topLeftCell="A24" zoomScale="131" zoomScaleNormal="100" workbookViewId="0">
      <selection activeCell="C46" sqref="C46"/>
    </sheetView>
  </sheetViews>
  <sheetFormatPr defaultColWidth="9.21875" defaultRowHeight="15" x14ac:dyDescent="0.25"/>
  <cols>
    <col min="1" max="1" width="39.5546875" style="2" customWidth="1"/>
    <col min="2" max="2" width="20.77734375" style="7" bestFit="1" customWidth="1"/>
    <col min="3" max="3" width="21.44140625" style="7" customWidth="1"/>
    <col min="4" max="4" width="20.77734375" style="2" customWidth="1"/>
    <col min="5" max="16384" width="9.21875" style="2"/>
  </cols>
  <sheetData>
    <row r="1" spans="1:7" ht="15" customHeight="1" x14ac:dyDescent="0.25">
      <c r="A1" s="96" t="s">
        <v>119</v>
      </c>
      <c r="B1" s="96"/>
      <c r="C1" s="96"/>
      <c r="D1" s="96"/>
    </row>
    <row r="2" spans="1:7" ht="15" customHeight="1" x14ac:dyDescent="0.25">
      <c r="A2" s="96"/>
      <c r="B2" s="96"/>
      <c r="C2" s="96"/>
      <c r="D2" s="96"/>
    </row>
    <row r="4" spans="1:7" ht="31.2" x14ac:dyDescent="0.3">
      <c r="B4" s="41" t="s">
        <v>87</v>
      </c>
      <c r="C4" s="41" t="s">
        <v>80</v>
      </c>
      <c r="D4" s="41" t="s">
        <v>94</v>
      </c>
    </row>
    <row r="5" spans="1:7" ht="15.6" x14ac:dyDescent="0.3">
      <c r="B5" s="46">
        <v>2019</v>
      </c>
      <c r="C5" s="46">
        <v>2019</v>
      </c>
      <c r="D5" s="46">
        <v>2020</v>
      </c>
    </row>
    <row r="6" spans="1:7" ht="15.6" x14ac:dyDescent="0.3">
      <c r="A6" s="1" t="s">
        <v>0</v>
      </c>
      <c r="D6" s="7"/>
    </row>
    <row r="7" spans="1:7" x14ac:dyDescent="0.25">
      <c r="A7" s="2" t="s">
        <v>57</v>
      </c>
      <c r="B7" s="7">
        <v>4000</v>
      </c>
      <c r="C7" s="7">
        <v>4315</v>
      </c>
      <c r="D7" s="7">
        <v>4000</v>
      </c>
    </row>
    <row r="8" spans="1:7" x14ac:dyDescent="0.25">
      <c r="A8" s="2" t="s">
        <v>21</v>
      </c>
      <c r="B8" s="7">
        <v>5</v>
      </c>
      <c r="C8" s="7">
        <v>1</v>
      </c>
      <c r="D8" s="7">
        <v>5</v>
      </c>
    </row>
    <row r="9" spans="1:7" x14ac:dyDescent="0.25">
      <c r="A9" s="2" t="s">
        <v>22</v>
      </c>
      <c r="B9" s="7">
        <v>50</v>
      </c>
      <c r="C9" s="7">
        <v>25</v>
      </c>
      <c r="D9" s="7">
        <v>50</v>
      </c>
    </row>
    <row r="10" spans="1:7" x14ac:dyDescent="0.25">
      <c r="A10" s="2" t="s">
        <v>23</v>
      </c>
      <c r="B10" s="7">
        <v>1600</v>
      </c>
      <c r="C10" s="7">
        <v>1750</v>
      </c>
      <c r="D10" s="7">
        <v>1600</v>
      </c>
    </row>
    <row r="11" spans="1:7" x14ac:dyDescent="0.25">
      <c r="A11" s="2" t="s">
        <v>72</v>
      </c>
      <c r="B11" s="7">
        <f>1250*4*12</f>
        <v>60000</v>
      </c>
      <c r="C11" s="7">
        <f>1250*12*4</f>
        <v>60000</v>
      </c>
      <c r="D11" s="7">
        <f>1400*4*12</f>
        <v>67200</v>
      </c>
      <c r="G11" s="2">
        <f>1250*2*12</f>
        <v>30000</v>
      </c>
    </row>
    <row r="12" spans="1:7" ht="15.6" thickBot="1" x14ac:dyDescent="0.3">
      <c r="A12" s="2" t="s">
        <v>96</v>
      </c>
      <c r="B12" s="8">
        <v>0</v>
      </c>
      <c r="C12" s="8">
        <v>0</v>
      </c>
      <c r="D12" s="8">
        <v>0</v>
      </c>
      <c r="G12" s="2">
        <f>1100*2*12</f>
        <v>26400</v>
      </c>
    </row>
    <row r="13" spans="1:7" s="1" customFormat="1" ht="15.6" x14ac:dyDescent="0.3">
      <c r="A13" s="1" t="s">
        <v>3</v>
      </c>
      <c r="B13" s="47">
        <f>SUM(B7:B12)</f>
        <v>65655</v>
      </c>
      <c r="C13" s="47">
        <f>SUM(C7:C12)</f>
        <v>66091</v>
      </c>
      <c r="D13" s="47">
        <f>SUM(D7:D12)</f>
        <v>72855</v>
      </c>
    </row>
    <row r="14" spans="1:7" ht="15.6" x14ac:dyDescent="0.3">
      <c r="A14" s="1" t="s">
        <v>4</v>
      </c>
      <c r="D14" s="7"/>
    </row>
    <row r="15" spans="1:7" ht="15.6" x14ac:dyDescent="0.3">
      <c r="A15" s="1" t="s">
        <v>5</v>
      </c>
      <c r="D15" s="7"/>
    </row>
    <row r="16" spans="1:7" x14ac:dyDescent="0.25">
      <c r="A16" s="2" t="s">
        <v>24</v>
      </c>
      <c r="B16" s="7">
        <v>1800</v>
      </c>
      <c r="C16" s="7">
        <v>1540</v>
      </c>
      <c r="D16" s="7">
        <v>1800</v>
      </c>
    </row>
    <row r="17" spans="1:6" x14ac:dyDescent="0.25">
      <c r="A17" s="2" t="s">
        <v>6</v>
      </c>
      <c r="B17" s="7">
        <v>150</v>
      </c>
      <c r="C17" s="7">
        <v>120</v>
      </c>
      <c r="D17" s="7">
        <v>150</v>
      </c>
    </row>
    <row r="18" spans="1:6" x14ac:dyDescent="0.25">
      <c r="A18" s="2" t="s">
        <v>89</v>
      </c>
      <c r="B18" s="7">
        <v>350</v>
      </c>
      <c r="C18" s="7">
        <v>250</v>
      </c>
      <c r="D18" s="7">
        <v>350</v>
      </c>
    </row>
    <row r="19" spans="1:6" x14ac:dyDescent="0.25">
      <c r="A19" s="2" t="s">
        <v>12</v>
      </c>
      <c r="B19" s="7">
        <v>400</v>
      </c>
      <c r="C19" s="7">
        <v>500</v>
      </c>
      <c r="D19" s="7">
        <v>500</v>
      </c>
    </row>
    <row r="20" spans="1:6" x14ac:dyDescent="0.25">
      <c r="A20" s="2" t="s">
        <v>7</v>
      </c>
      <c r="B20" s="7">
        <v>62</v>
      </c>
      <c r="C20" s="7">
        <v>62</v>
      </c>
      <c r="D20" s="7">
        <v>62</v>
      </c>
    </row>
    <row r="21" spans="1:6" ht="15.6" thickBot="1" x14ac:dyDescent="0.3">
      <c r="A21" s="2" t="s">
        <v>39</v>
      </c>
      <c r="B21" s="8">
        <v>3000</v>
      </c>
      <c r="C21" s="8">
        <v>3600</v>
      </c>
      <c r="D21" s="8">
        <v>3600</v>
      </c>
    </row>
    <row r="22" spans="1:6" s="1" customFormat="1" ht="15.6" x14ac:dyDescent="0.3">
      <c r="A22" s="1" t="s">
        <v>19</v>
      </c>
      <c r="B22" s="47">
        <f>SUM(B16:B21)</f>
        <v>5762</v>
      </c>
      <c r="C22" s="47">
        <f>SUM(C16:C21)</f>
        <v>6072</v>
      </c>
      <c r="D22" s="47">
        <f>SUM(D16:D21)</f>
        <v>6462</v>
      </c>
    </row>
    <row r="23" spans="1:6" x14ac:dyDescent="0.25">
      <c r="D23" s="7"/>
    </row>
    <row r="24" spans="1:6" s="1" customFormat="1" ht="15.6" x14ac:dyDescent="0.3">
      <c r="A24" s="1" t="s">
        <v>8</v>
      </c>
      <c r="B24" s="48">
        <v>19553</v>
      </c>
      <c r="C24" s="48">
        <v>19534</v>
      </c>
      <c r="D24" s="48">
        <v>22500</v>
      </c>
      <c r="F24" s="1" t="s">
        <v>121</v>
      </c>
    </row>
    <row r="25" spans="1:6" x14ac:dyDescent="0.25">
      <c r="B25" s="7" t="s">
        <v>40</v>
      </c>
      <c r="D25" s="7" t="s">
        <v>40</v>
      </c>
      <c r="F25" s="2" t="s">
        <v>122</v>
      </c>
    </row>
    <row r="26" spans="1:6" ht="15.6" x14ac:dyDescent="0.3">
      <c r="A26" s="1" t="s">
        <v>9</v>
      </c>
      <c r="D26" s="7"/>
      <c r="F26" s="2" t="s">
        <v>123</v>
      </c>
    </row>
    <row r="27" spans="1:6" x14ac:dyDescent="0.25">
      <c r="A27" s="2" t="s">
        <v>27</v>
      </c>
      <c r="B27" s="7">
        <v>500</v>
      </c>
      <c r="C27" s="7">
        <v>1000</v>
      </c>
      <c r="D27" s="7">
        <v>1000</v>
      </c>
      <c r="F27" s="2" t="s">
        <v>124</v>
      </c>
    </row>
    <row r="28" spans="1:6" x14ac:dyDescent="0.25">
      <c r="A28" s="2" t="s">
        <v>28</v>
      </c>
      <c r="B28" s="7">
        <v>1600</v>
      </c>
      <c r="C28" s="7">
        <v>0</v>
      </c>
      <c r="D28" s="7">
        <v>1000</v>
      </c>
      <c r="F28" s="2" t="s">
        <v>125</v>
      </c>
    </row>
    <row r="29" spans="1:6" x14ac:dyDescent="0.25">
      <c r="A29" s="2" t="s">
        <v>30</v>
      </c>
      <c r="B29" s="7">
        <v>0</v>
      </c>
      <c r="C29" s="7">
        <v>200</v>
      </c>
      <c r="D29" s="7">
        <v>200</v>
      </c>
      <c r="F29" s="2" t="s">
        <v>126</v>
      </c>
    </row>
    <row r="30" spans="1:6" x14ac:dyDescent="0.25">
      <c r="A30" s="2" t="s">
        <v>31</v>
      </c>
      <c r="B30" s="7">
        <v>500</v>
      </c>
      <c r="C30" s="7">
        <v>4150</v>
      </c>
      <c r="D30" s="7">
        <v>1000</v>
      </c>
      <c r="F30" s="2" t="s">
        <v>127</v>
      </c>
    </row>
    <row r="31" spans="1:6" x14ac:dyDescent="0.25">
      <c r="A31" s="2" t="s">
        <v>32</v>
      </c>
      <c r="B31" s="7">
        <v>0</v>
      </c>
      <c r="C31" s="7">
        <v>0</v>
      </c>
      <c r="D31" s="7">
        <v>0</v>
      </c>
    </row>
    <row r="32" spans="1:6" ht="15.6" x14ac:dyDescent="0.3">
      <c r="A32" s="2" t="s">
        <v>33</v>
      </c>
      <c r="B32" s="7">
        <v>100</v>
      </c>
      <c r="C32" s="7">
        <v>0</v>
      </c>
      <c r="D32" s="7">
        <v>100</v>
      </c>
      <c r="F32" s="49"/>
    </row>
    <row r="33" spans="1:6" ht="16.2" thickBot="1" x14ac:dyDescent="0.35">
      <c r="A33" s="2" t="s">
        <v>34</v>
      </c>
      <c r="B33" s="8">
        <v>1000</v>
      </c>
      <c r="C33" s="8">
        <v>0</v>
      </c>
      <c r="D33" s="8">
        <v>1000</v>
      </c>
      <c r="F33" s="49"/>
    </row>
    <row r="34" spans="1:6" s="1" customFormat="1" ht="15.6" x14ac:dyDescent="0.3">
      <c r="A34" s="1" t="s">
        <v>18</v>
      </c>
      <c r="B34" s="47">
        <f>SUM(B27:B33)</f>
        <v>3700</v>
      </c>
      <c r="C34" s="47">
        <f>SUM(C27:C33)</f>
        <v>5350</v>
      </c>
      <c r="D34" s="47">
        <f>SUM(D27:D33)</f>
        <v>4300</v>
      </c>
    </row>
    <row r="35" spans="1:6" x14ac:dyDescent="0.25">
      <c r="D35" s="7"/>
    </row>
    <row r="36" spans="1:6" ht="15.6" x14ac:dyDescent="0.3">
      <c r="A36" s="1" t="s">
        <v>35</v>
      </c>
      <c r="D36" s="7"/>
    </row>
    <row r="37" spans="1:6" x14ac:dyDescent="0.25">
      <c r="A37" s="2" t="s">
        <v>10</v>
      </c>
      <c r="B37" s="7">
        <v>4500</v>
      </c>
      <c r="C37" s="7">
        <v>3600</v>
      </c>
      <c r="D37" s="7">
        <v>4500</v>
      </c>
    </row>
    <row r="38" spans="1:6" x14ac:dyDescent="0.25">
      <c r="A38" s="2" t="s">
        <v>36</v>
      </c>
      <c r="B38" s="7">
        <v>200</v>
      </c>
      <c r="C38" s="7">
        <v>0</v>
      </c>
      <c r="D38" s="7">
        <v>200</v>
      </c>
    </row>
    <row r="39" spans="1:6" x14ac:dyDescent="0.25">
      <c r="A39" s="2" t="s">
        <v>120</v>
      </c>
      <c r="B39" s="7">
        <v>0</v>
      </c>
      <c r="C39" s="7">
        <v>1220</v>
      </c>
      <c r="D39" s="7">
        <v>1300</v>
      </c>
    </row>
    <row r="40" spans="1:6" x14ac:dyDescent="0.25">
      <c r="A40" s="2" t="s">
        <v>37</v>
      </c>
      <c r="B40" s="7">
        <v>2300</v>
      </c>
      <c r="C40" s="7">
        <v>2152</v>
      </c>
      <c r="D40" s="7">
        <v>2160</v>
      </c>
    </row>
    <row r="41" spans="1:6" x14ac:dyDescent="0.25">
      <c r="A41" s="2" t="s">
        <v>41</v>
      </c>
      <c r="B41" s="7">
        <v>2990</v>
      </c>
      <c r="C41" s="7">
        <v>2700</v>
      </c>
      <c r="D41" s="7">
        <v>2700</v>
      </c>
    </row>
    <row r="42" spans="1:6" ht="15.6" thickBot="1" x14ac:dyDescent="0.3">
      <c r="A42" s="2" t="s">
        <v>11</v>
      </c>
      <c r="B42" s="8">
        <v>0</v>
      </c>
      <c r="C42" s="8">
        <v>0</v>
      </c>
      <c r="D42" s="8">
        <v>200</v>
      </c>
    </row>
    <row r="43" spans="1:6" ht="15.6" x14ac:dyDescent="0.3">
      <c r="A43" s="1" t="s">
        <v>38</v>
      </c>
      <c r="B43" s="47">
        <f>SUM(B37:B42)</f>
        <v>9990</v>
      </c>
      <c r="C43" s="47">
        <f>SUM(C37:C42)</f>
        <v>9672</v>
      </c>
      <c r="D43" s="47">
        <f>SUM(D37:D42)</f>
        <v>11060</v>
      </c>
    </row>
    <row r="44" spans="1:6" x14ac:dyDescent="0.25">
      <c r="D44" s="7"/>
    </row>
    <row r="45" spans="1:6" ht="15.6" x14ac:dyDescent="0.3">
      <c r="A45" s="1" t="s">
        <v>13</v>
      </c>
      <c r="D45" s="7"/>
    </row>
    <row r="46" spans="1:6" x14ac:dyDescent="0.25">
      <c r="A46" s="2" t="s">
        <v>14</v>
      </c>
      <c r="B46" s="7">
        <v>9800</v>
      </c>
      <c r="C46" s="7">
        <v>12500</v>
      </c>
      <c r="D46" s="7">
        <v>12800</v>
      </c>
    </row>
    <row r="47" spans="1:6" x14ac:dyDescent="0.25">
      <c r="A47" s="2" t="s">
        <v>26</v>
      </c>
      <c r="B47" s="7">
        <v>500</v>
      </c>
      <c r="C47" s="7">
        <v>0</v>
      </c>
      <c r="D47" s="7">
        <v>500</v>
      </c>
    </row>
    <row r="48" spans="1:6" x14ac:dyDescent="0.25">
      <c r="A48" s="2" t="s">
        <v>25</v>
      </c>
      <c r="B48" s="7">
        <v>13000</v>
      </c>
      <c r="C48" s="7">
        <v>12410</v>
      </c>
      <c r="D48" s="7">
        <v>12633</v>
      </c>
    </row>
    <row r="49" spans="1:6" ht="15.6" thickBot="1" x14ac:dyDescent="0.3">
      <c r="A49" s="2" t="s">
        <v>15</v>
      </c>
      <c r="B49" s="8">
        <v>3350</v>
      </c>
      <c r="C49" s="8">
        <v>2550</v>
      </c>
      <c r="D49" s="8">
        <v>2600</v>
      </c>
    </row>
    <row r="50" spans="1:6" s="1" customFormat="1" ht="15.6" x14ac:dyDescent="0.3">
      <c r="A50" s="1" t="s">
        <v>16</v>
      </c>
      <c r="B50" s="47">
        <f>SUM(B46:B49)</f>
        <v>26650</v>
      </c>
      <c r="C50" s="47">
        <f>SUM(C46:C49)</f>
        <v>27460</v>
      </c>
      <c r="D50" s="47">
        <f>SUM(D46:D49)</f>
        <v>28533</v>
      </c>
    </row>
    <row r="51" spans="1:6" s="1" customFormat="1" ht="15.6" x14ac:dyDescent="0.3">
      <c r="A51" s="1" t="s">
        <v>17</v>
      </c>
      <c r="B51" s="47">
        <f>SUM(B22+B24+B34+B43+B50)</f>
        <v>65655</v>
      </c>
      <c r="C51" s="47">
        <f>SUM(C50+C43+C34+C24+C22)</f>
        <v>68088</v>
      </c>
      <c r="D51" s="47">
        <f>SUM(D22+D24+D34+D43+D50)</f>
        <v>72855</v>
      </c>
    </row>
    <row r="52" spans="1:6" ht="15.6" thickBot="1" x14ac:dyDescent="0.3"/>
    <row r="53" spans="1:6" ht="16.2" thickBot="1" x14ac:dyDescent="0.35">
      <c r="A53" s="97" t="s">
        <v>128</v>
      </c>
      <c r="B53" s="98"/>
      <c r="C53" s="99"/>
      <c r="F53" s="2">
        <v>1150</v>
      </c>
    </row>
    <row r="54" spans="1:6" x14ac:dyDescent="0.25">
      <c r="A54" s="2" t="s">
        <v>40</v>
      </c>
    </row>
  </sheetData>
  <mergeCells count="2">
    <mergeCell ref="A1:D2"/>
    <mergeCell ref="A53:C53"/>
  </mergeCells>
  <pageMargins left="0.75" right="0.75" top="0.52" bottom="0.35" header="0.5" footer="0.5"/>
  <pageSetup scale="79" orientation="portrait" r:id="rId1"/>
  <headerFooter alignWithMargins="0"/>
  <rowBreaks count="1" manualBreakCount="1">
    <brk id="54" max="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203DD-A743-114D-89F2-412D2883E41F}">
  <dimension ref="A1:I19"/>
  <sheetViews>
    <sheetView zoomScaleNormal="100" workbookViewId="0">
      <selection activeCell="E16" sqref="E16"/>
    </sheetView>
  </sheetViews>
  <sheetFormatPr defaultColWidth="8.77734375" defaultRowHeight="13.2" x14ac:dyDescent="0.25"/>
  <cols>
    <col min="1" max="1" width="23" customWidth="1"/>
    <col min="2" max="2" width="18.44140625" customWidth="1"/>
    <col min="3" max="3" width="26.21875" customWidth="1"/>
    <col min="4" max="4" width="19.44140625" customWidth="1"/>
    <col min="5" max="5" width="18.5546875" customWidth="1"/>
    <col min="6" max="6" width="15.21875" customWidth="1"/>
    <col min="7" max="7" width="9.44140625" customWidth="1"/>
    <col min="8" max="8" width="12.44140625" customWidth="1"/>
    <col min="9" max="9" width="13.44140625" customWidth="1"/>
  </cols>
  <sheetData>
    <row r="1" spans="1:9" ht="13.8" thickBot="1" x14ac:dyDescent="0.3"/>
    <row r="2" spans="1:9" ht="37.5" customHeight="1" thickTop="1" thickBot="1" x14ac:dyDescent="0.35">
      <c r="A2" s="76" t="s">
        <v>43</v>
      </c>
      <c r="B2" s="77"/>
      <c r="C2" s="77"/>
      <c r="D2" s="77"/>
      <c r="E2" s="77"/>
      <c r="F2" s="78"/>
      <c r="G2" s="3"/>
    </row>
    <row r="3" spans="1:9" ht="78" x14ac:dyDescent="0.3">
      <c r="A3" s="21" t="s">
        <v>44</v>
      </c>
      <c r="B3" s="18" t="s">
        <v>70</v>
      </c>
      <c r="C3" s="18" t="s">
        <v>60</v>
      </c>
      <c r="D3" s="19" t="s">
        <v>45</v>
      </c>
      <c r="E3" s="18" t="s">
        <v>61</v>
      </c>
      <c r="F3" s="22" t="s">
        <v>46</v>
      </c>
    </row>
    <row r="4" spans="1:9" ht="15" x14ac:dyDescent="0.25">
      <c r="A4" s="23" t="s">
        <v>56</v>
      </c>
      <c r="B4" s="20">
        <v>1400</v>
      </c>
      <c r="C4" s="20">
        <f>SUM(I16/4/12)</f>
        <v>1056.5940277777779</v>
      </c>
      <c r="D4" s="20">
        <f>SUM(B4+C4)</f>
        <v>2456.5940277777781</v>
      </c>
      <c r="E4" s="20">
        <f>SUM(H16/4/12)</f>
        <v>528.29701388888896</v>
      </c>
      <c r="F4" s="24">
        <f>SUM(B4+E4)</f>
        <v>1928.2970138888891</v>
      </c>
    </row>
    <row r="5" spans="1:9" ht="16.2" thickBot="1" x14ac:dyDescent="0.35">
      <c r="A5" s="25" t="s">
        <v>47</v>
      </c>
      <c r="B5" s="26">
        <f>B4*12*4</f>
        <v>67200</v>
      </c>
      <c r="C5" s="26">
        <f>SUM(C4*12*4)</f>
        <v>50716.513333333336</v>
      </c>
      <c r="D5" s="26">
        <f>SUM(D4*12*4)</f>
        <v>117916.51333333335</v>
      </c>
      <c r="E5" s="26">
        <f>SUM(E4*12*4)</f>
        <v>25358.256666666668</v>
      </c>
      <c r="F5" s="27">
        <f>SUM(F4*4*12)</f>
        <v>92558.256666666683</v>
      </c>
    </row>
    <row r="6" spans="1:9" ht="13.8" thickTop="1" x14ac:dyDescent="0.25"/>
    <row r="7" spans="1:9" ht="13.8" thickBot="1" x14ac:dyDescent="0.3"/>
    <row r="8" spans="1:9" ht="16.2" thickTop="1" x14ac:dyDescent="0.3">
      <c r="A8" s="89" t="s">
        <v>115</v>
      </c>
      <c r="B8" s="80"/>
      <c r="C8" s="80"/>
      <c r="D8" s="80"/>
      <c r="E8" s="80"/>
      <c r="F8" s="80"/>
      <c r="G8" s="80"/>
      <c r="H8" s="80"/>
      <c r="I8" s="81"/>
    </row>
    <row r="9" spans="1:9" ht="38.25" customHeight="1" x14ac:dyDescent="0.25">
      <c r="A9" s="28" t="s">
        <v>51</v>
      </c>
      <c r="B9" s="15" t="s">
        <v>62</v>
      </c>
      <c r="C9" s="15" t="s">
        <v>63</v>
      </c>
      <c r="D9" s="16" t="s">
        <v>64</v>
      </c>
      <c r="E9" s="15" t="s">
        <v>116</v>
      </c>
      <c r="F9" s="15" t="s">
        <v>68</v>
      </c>
      <c r="G9" s="15" t="s">
        <v>65</v>
      </c>
      <c r="H9" s="17" t="s">
        <v>117</v>
      </c>
      <c r="I9" s="29" t="s">
        <v>118</v>
      </c>
    </row>
    <row r="10" spans="1:9" x14ac:dyDescent="0.25">
      <c r="A10" s="30" t="s">
        <v>29</v>
      </c>
      <c r="B10" s="12">
        <v>8</v>
      </c>
      <c r="C10" s="13">
        <v>15000</v>
      </c>
      <c r="D10" s="11">
        <v>0.2</v>
      </c>
      <c r="E10" s="13">
        <f>E16*D10</f>
        <v>1100.4000000000001</v>
      </c>
      <c r="F10" s="12">
        <v>1</v>
      </c>
      <c r="G10" s="13">
        <f>SUM(C10-E10)</f>
        <v>13899.6</v>
      </c>
      <c r="H10" s="14">
        <f>SUM(I10*0.5)</f>
        <v>6949.8</v>
      </c>
      <c r="I10" s="31">
        <f>SUM(G10/F10)</f>
        <v>13899.6</v>
      </c>
    </row>
    <row r="11" spans="1:9" x14ac:dyDescent="0.25">
      <c r="A11" s="30" t="s">
        <v>48</v>
      </c>
      <c r="B11" s="12">
        <v>20</v>
      </c>
      <c r="C11" s="13">
        <v>40000</v>
      </c>
      <c r="D11" s="11">
        <v>0.05</v>
      </c>
      <c r="E11" s="13">
        <f>E16*D11</f>
        <v>275.10000000000002</v>
      </c>
      <c r="F11" s="12">
        <v>15</v>
      </c>
      <c r="G11" s="13">
        <f>SUM(C11-E11)</f>
        <v>39724.9</v>
      </c>
      <c r="H11" s="14">
        <f>SUM(I11*0.5)</f>
        <v>1324.1633333333334</v>
      </c>
      <c r="I11" s="31">
        <f>SUM(G11/F11)</f>
        <v>2648.3266666666668</v>
      </c>
    </row>
    <row r="12" spans="1:9" x14ac:dyDescent="0.25">
      <c r="A12" s="30" t="s">
        <v>54</v>
      </c>
      <c r="B12" s="12">
        <v>8</v>
      </c>
      <c r="C12" s="13">
        <v>10000</v>
      </c>
      <c r="D12" s="11">
        <v>0.1</v>
      </c>
      <c r="E12" s="13">
        <f>E16*D12</f>
        <v>550.20000000000005</v>
      </c>
      <c r="F12" s="12">
        <v>6</v>
      </c>
      <c r="G12" s="13">
        <f t="shared" ref="G12:G15" si="0">SUM(C12-E12)</f>
        <v>9449.7999999999993</v>
      </c>
      <c r="H12" s="14">
        <f t="shared" ref="H12:H15" si="1">SUM(I12*0.5)</f>
        <v>787.48333333333323</v>
      </c>
      <c r="I12" s="31">
        <f t="shared" ref="I12:I15" si="2">SUM(G12/F12)</f>
        <v>1574.9666666666665</v>
      </c>
    </row>
    <row r="13" spans="1:9" x14ac:dyDescent="0.25">
      <c r="A13" s="30" t="s">
        <v>55</v>
      </c>
      <c r="B13" s="12">
        <v>50</v>
      </c>
      <c r="C13" s="13">
        <v>60000</v>
      </c>
      <c r="D13" s="11">
        <v>0.2</v>
      </c>
      <c r="E13" s="13">
        <f>E16*D13</f>
        <v>1100.4000000000001</v>
      </c>
      <c r="F13" s="12">
        <v>45</v>
      </c>
      <c r="G13" s="13">
        <f t="shared" si="0"/>
        <v>58899.6</v>
      </c>
      <c r="H13" s="14">
        <f t="shared" si="1"/>
        <v>654.43999999999994</v>
      </c>
      <c r="I13" s="31">
        <f t="shared" si="2"/>
        <v>1308.8799999999999</v>
      </c>
    </row>
    <row r="14" spans="1:9" x14ac:dyDescent="0.25">
      <c r="A14" s="30" t="s">
        <v>49</v>
      </c>
      <c r="B14" s="12">
        <v>20</v>
      </c>
      <c r="C14" s="13">
        <v>100000</v>
      </c>
      <c r="D14" s="11">
        <v>0.4</v>
      </c>
      <c r="E14" s="13">
        <f>E16*D14</f>
        <v>2200.8000000000002</v>
      </c>
      <c r="F14" s="12">
        <v>5</v>
      </c>
      <c r="G14" s="13">
        <f t="shared" si="0"/>
        <v>97799.2</v>
      </c>
      <c r="H14" s="14">
        <f t="shared" si="1"/>
        <v>9779.92</v>
      </c>
      <c r="I14" s="31">
        <f t="shared" si="2"/>
        <v>19559.84</v>
      </c>
    </row>
    <row r="15" spans="1:9" x14ac:dyDescent="0.25">
      <c r="A15" s="30" t="s">
        <v>52</v>
      </c>
      <c r="B15" s="12">
        <v>7</v>
      </c>
      <c r="C15" s="13">
        <v>12000</v>
      </c>
      <c r="D15" s="11">
        <v>0.05</v>
      </c>
      <c r="E15" s="13">
        <f>E16*D15</f>
        <v>275.10000000000002</v>
      </c>
      <c r="F15" s="12">
        <v>1</v>
      </c>
      <c r="G15" s="13">
        <f t="shared" si="0"/>
        <v>11724.9</v>
      </c>
      <c r="H15" s="14">
        <f t="shared" si="1"/>
        <v>5862.45</v>
      </c>
      <c r="I15" s="31">
        <f t="shared" si="2"/>
        <v>11724.9</v>
      </c>
    </row>
    <row r="16" spans="1:9" ht="13.8" thickBot="1" x14ac:dyDescent="0.3">
      <c r="A16" s="32" t="s">
        <v>53</v>
      </c>
      <c r="B16" s="33"/>
      <c r="C16" s="34">
        <f>SUM(C10:C15)</f>
        <v>237000</v>
      </c>
      <c r="D16" s="35">
        <f>SUM(D10:D15)</f>
        <v>1</v>
      </c>
      <c r="E16" s="34">
        <v>5502</v>
      </c>
      <c r="F16" s="34"/>
      <c r="G16" s="34">
        <f>SUM(G10:G15)</f>
        <v>231497.99999999997</v>
      </c>
      <c r="H16" s="36">
        <f>SUM(H10:H15)</f>
        <v>25358.256666666668</v>
      </c>
      <c r="I16" s="37">
        <f>SUM(I10:I15)</f>
        <v>50716.513333333336</v>
      </c>
    </row>
    <row r="17" spans="1:9" ht="14.4" thickTop="1" thickBot="1" x14ac:dyDescent="0.3"/>
    <row r="18" spans="1:9" ht="12.75" customHeight="1" x14ac:dyDescent="0.25">
      <c r="A18" s="90" t="s">
        <v>71</v>
      </c>
      <c r="B18" s="91"/>
      <c r="C18" s="91"/>
      <c r="D18" s="91"/>
      <c r="E18" s="91"/>
      <c r="F18" s="91"/>
      <c r="G18" s="91"/>
      <c r="H18" s="91"/>
      <c r="I18" s="92"/>
    </row>
    <row r="19" spans="1:9" ht="13.8" thickBot="1" x14ac:dyDescent="0.3">
      <c r="A19" s="93"/>
      <c r="B19" s="94"/>
      <c r="C19" s="94"/>
      <c r="D19" s="94"/>
      <c r="E19" s="94"/>
      <c r="F19" s="94"/>
      <c r="G19" s="94"/>
      <c r="H19" s="94"/>
      <c r="I19" s="95"/>
    </row>
  </sheetData>
  <mergeCells count="3">
    <mergeCell ref="A2:F2"/>
    <mergeCell ref="A8:I8"/>
    <mergeCell ref="A18:I19"/>
  </mergeCells>
  <pageMargins left="0.2" right="0.23" top="1" bottom="0.52" header="0.5" footer="0.5"/>
  <pageSetup scale="76" orientation="landscape" r:id="rId1"/>
  <headerFooter alignWithMargins="0">
    <oddHeader xml:space="preserve">&amp;C&amp;"Arial,Bold"&amp;12Oakland Arms Condominium Association, Inc.
Reserves 2020
</oddHeader>
    <oddFooter>&amp;L&amp;T&amp;D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A2397-7538-654E-8931-D89BA20B03AF}">
  <dimension ref="A1:G56"/>
  <sheetViews>
    <sheetView view="pageBreakPreview" topLeftCell="A11" zoomScaleNormal="100" zoomScaleSheetLayoutView="100" workbookViewId="0">
      <selection activeCell="A55" sqref="A55:C55"/>
    </sheetView>
  </sheetViews>
  <sheetFormatPr defaultColWidth="9.21875" defaultRowHeight="15" x14ac:dyDescent="0.25"/>
  <cols>
    <col min="1" max="1" width="39.5546875" style="2" customWidth="1"/>
    <col min="2" max="2" width="20.77734375" style="7" bestFit="1" customWidth="1"/>
    <col min="3" max="3" width="21.44140625" style="7" customWidth="1"/>
    <col min="4" max="4" width="20.77734375" style="2" customWidth="1"/>
    <col min="5" max="16384" width="9.21875" style="2"/>
  </cols>
  <sheetData>
    <row r="1" spans="1:7" ht="15" customHeight="1" x14ac:dyDescent="0.25">
      <c r="A1" s="96" t="s">
        <v>132</v>
      </c>
      <c r="B1" s="96"/>
      <c r="C1" s="96"/>
      <c r="D1" s="96"/>
    </row>
    <row r="2" spans="1:7" ht="15" customHeight="1" x14ac:dyDescent="0.25">
      <c r="A2" s="96"/>
      <c r="B2" s="96"/>
      <c r="C2" s="96"/>
      <c r="D2" s="96"/>
    </row>
    <row r="4" spans="1:7" ht="31.2" x14ac:dyDescent="0.3">
      <c r="B4" s="41" t="s">
        <v>87</v>
      </c>
      <c r="C4" s="41" t="s">
        <v>80</v>
      </c>
      <c r="D4" s="41" t="s">
        <v>94</v>
      </c>
    </row>
    <row r="5" spans="1:7" ht="15.6" x14ac:dyDescent="0.3">
      <c r="B5" s="46">
        <v>2020</v>
      </c>
      <c r="C5" s="46">
        <v>2020</v>
      </c>
      <c r="D5" s="46">
        <v>2021</v>
      </c>
    </row>
    <row r="6" spans="1:7" ht="15.6" x14ac:dyDescent="0.3">
      <c r="A6" s="1" t="s">
        <v>0</v>
      </c>
      <c r="D6" s="7"/>
    </row>
    <row r="7" spans="1:7" x14ac:dyDescent="0.25">
      <c r="A7" s="2" t="s">
        <v>57</v>
      </c>
      <c r="B7" s="7">
        <v>4000</v>
      </c>
      <c r="C7" s="7">
        <v>5506</v>
      </c>
      <c r="D7" s="7">
        <v>5500</v>
      </c>
    </row>
    <row r="8" spans="1:7" x14ac:dyDescent="0.25">
      <c r="A8" s="2" t="s">
        <v>21</v>
      </c>
      <c r="B8" s="7">
        <v>5</v>
      </c>
      <c r="C8" s="7">
        <v>1</v>
      </c>
      <c r="D8" s="7">
        <v>5</v>
      </c>
    </row>
    <row r="9" spans="1:7" x14ac:dyDescent="0.25">
      <c r="A9" s="2" t="s">
        <v>22</v>
      </c>
      <c r="B9" s="7">
        <v>50</v>
      </c>
      <c r="C9" s="7">
        <v>0</v>
      </c>
      <c r="D9" s="7">
        <v>50</v>
      </c>
    </row>
    <row r="10" spans="1:7" x14ac:dyDescent="0.25">
      <c r="A10" s="2" t="s">
        <v>23</v>
      </c>
      <c r="B10" s="7">
        <v>1600</v>
      </c>
      <c r="C10" s="7">
        <v>738</v>
      </c>
      <c r="D10" s="7">
        <v>700</v>
      </c>
    </row>
    <row r="11" spans="1:7" x14ac:dyDescent="0.25">
      <c r="A11" s="2" t="s">
        <v>72</v>
      </c>
      <c r="B11" s="7">
        <f>1400*4*12</f>
        <v>67200</v>
      </c>
      <c r="C11" s="7">
        <v>65400</v>
      </c>
      <c r="D11" s="7">
        <f>1400*12*4</f>
        <v>67200</v>
      </c>
      <c r="G11" s="2">
        <f>1250*2*12</f>
        <v>30000</v>
      </c>
    </row>
    <row r="12" spans="1:7" x14ac:dyDescent="0.25">
      <c r="A12" s="2" t="s">
        <v>133</v>
      </c>
      <c r="B12" s="7">
        <v>4800</v>
      </c>
      <c r="C12" s="7">
        <v>4800</v>
      </c>
      <c r="D12" s="7">
        <v>4800</v>
      </c>
    </row>
    <row r="13" spans="1:7" s="1" customFormat="1" ht="15.6" x14ac:dyDescent="0.3">
      <c r="A13" s="1" t="s">
        <v>3</v>
      </c>
      <c r="B13" s="47">
        <f>SUM(B7:B12)</f>
        <v>77655</v>
      </c>
      <c r="C13" s="47">
        <f>SUM(C7:C12)</f>
        <v>76445</v>
      </c>
      <c r="D13" s="47">
        <f>SUM(D7:D12)</f>
        <v>78255</v>
      </c>
    </row>
    <row r="14" spans="1:7" ht="15.6" x14ac:dyDescent="0.3">
      <c r="A14" s="1" t="s">
        <v>4</v>
      </c>
      <c r="D14" s="7"/>
    </row>
    <row r="15" spans="1:7" ht="15.6" x14ac:dyDescent="0.3">
      <c r="A15" s="1" t="s">
        <v>5</v>
      </c>
      <c r="D15" s="7"/>
    </row>
    <row r="16" spans="1:7" x14ac:dyDescent="0.25">
      <c r="A16" s="2" t="s">
        <v>24</v>
      </c>
      <c r="B16" s="7">
        <v>1800</v>
      </c>
      <c r="C16" s="7">
        <v>2070</v>
      </c>
      <c r="D16" s="7">
        <v>2100</v>
      </c>
    </row>
    <row r="17" spans="1:6" x14ac:dyDescent="0.25">
      <c r="A17" s="2" t="s">
        <v>6</v>
      </c>
      <c r="B17" s="7">
        <v>150</v>
      </c>
      <c r="C17" s="7">
        <v>85</v>
      </c>
      <c r="D17" s="7">
        <v>100</v>
      </c>
    </row>
    <row r="18" spans="1:6" x14ac:dyDescent="0.25">
      <c r="A18" s="2" t="s">
        <v>89</v>
      </c>
      <c r="B18" s="7">
        <v>350</v>
      </c>
      <c r="C18" s="7">
        <v>0</v>
      </c>
      <c r="D18" s="7">
        <v>350</v>
      </c>
    </row>
    <row r="19" spans="1:6" x14ac:dyDescent="0.25">
      <c r="A19" s="2" t="s">
        <v>12</v>
      </c>
      <c r="B19" s="7">
        <v>500</v>
      </c>
      <c r="C19" s="7">
        <v>220</v>
      </c>
      <c r="D19" s="7">
        <v>250</v>
      </c>
    </row>
    <row r="20" spans="1:6" x14ac:dyDescent="0.25">
      <c r="A20" s="2" t="s">
        <v>7</v>
      </c>
      <c r="B20" s="7">
        <v>62</v>
      </c>
      <c r="C20" s="7">
        <v>61.25</v>
      </c>
      <c r="D20" s="7">
        <v>62</v>
      </c>
    </row>
    <row r="21" spans="1:6" ht="15.6" thickBot="1" x14ac:dyDescent="0.3">
      <c r="A21" s="2" t="s">
        <v>39</v>
      </c>
      <c r="B21" s="8">
        <v>3600</v>
      </c>
      <c r="C21" s="8">
        <v>3600</v>
      </c>
      <c r="D21" s="8">
        <v>3600</v>
      </c>
    </row>
    <row r="22" spans="1:6" s="1" customFormat="1" ht="15.6" x14ac:dyDescent="0.3">
      <c r="A22" s="1" t="s">
        <v>19</v>
      </c>
      <c r="B22" s="47">
        <f>SUM(B16:B21)</f>
        <v>6462</v>
      </c>
      <c r="C22" s="47">
        <f>SUM(C16:C21)</f>
        <v>6036.25</v>
      </c>
      <c r="D22" s="47">
        <f>SUM(D16:D21)</f>
        <v>6462</v>
      </c>
    </row>
    <row r="23" spans="1:6" x14ac:dyDescent="0.25">
      <c r="D23" s="7"/>
    </row>
    <row r="24" spans="1:6" s="1" customFormat="1" ht="15.6" x14ac:dyDescent="0.3">
      <c r="A24" s="1" t="s">
        <v>8</v>
      </c>
      <c r="B24" s="48">
        <v>22500</v>
      </c>
      <c r="C24" s="48">
        <v>28000</v>
      </c>
      <c r="D24" s="48">
        <v>28000</v>
      </c>
      <c r="F24" s="1" t="s">
        <v>139</v>
      </c>
    </row>
    <row r="25" spans="1:6" x14ac:dyDescent="0.25">
      <c r="B25" s="7" t="s">
        <v>40</v>
      </c>
      <c r="D25" s="7" t="s">
        <v>40</v>
      </c>
      <c r="F25" s="2" t="s">
        <v>135</v>
      </c>
    </row>
    <row r="26" spans="1:6" ht="15.6" x14ac:dyDescent="0.3">
      <c r="A26" s="1" t="s">
        <v>9</v>
      </c>
      <c r="D26" s="7"/>
      <c r="F26" s="2" t="s">
        <v>123</v>
      </c>
    </row>
    <row r="27" spans="1:6" x14ac:dyDescent="0.25">
      <c r="A27" s="2" t="s">
        <v>27</v>
      </c>
      <c r="B27" s="7">
        <v>1000</v>
      </c>
      <c r="C27" s="7">
        <v>0</v>
      </c>
      <c r="D27" s="7">
        <v>0</v>
      </c>
      <c r="F27" s="2" t="s">
        <v>138</v>
      </c>
    </row>
    <row r="28" spans="1:6" x14ac:dyDescent="0.25">
      <c r="A28" s="2" t="s">
        <v>28</v>
      </c>
      <c r="B28" s="7">
        <v>1000</v>
      </c>
      <c r="C28" s="7">
        <v>3600</v>
      </c>
      <c r="D28" s="7">
        <v>5000</v>
      </c>
      <c r="F28" s="2" t="s">
        <v>137</v>
      </c>
    </row>
    <row r="29" spans="1:6" x14ac:dyDescent="0.25">
      <c r="A29" s="2" t="s">
        <v>30</v>
      </c>
      <c r="B29" s="7">
        <v>200</v>
      </c>
      <c r="C29" s="7">
        <v>0</v>
      </c>
      <c r="D29" s="7">
        <v>1243</v>
      </c>
      <c r="F29" s="2" t="s">
        <v>136</v>
      </c>
    </row>
    <row r="30" spans="1:6" x14ac:dyDescent="0.25">
      <c r="A30" s="2" t="s">
        <v>31</v>
      </c>
      <c r="B30" s="7">
        <v>1000</v>
      </c>
      <c r="C30" s="7">
        <v>2500</v>
      </c>
      <c r="D30" s="7">
        <v>1200</v>
      </c>
      <c r="F30" s="2" t="s">
        <v>127</v>
      </c>
    </row>
    <row r="31" spans="1:6" x14ac:dyDescent="0.25">
      <c r="A31" s="2" t="s">
        <v>32</v>
      </c>
      <c r="B31" s="7">
        <v>0</v>
      </c>
      <c r="C31" s="7">
        <v>0</v>
      </c>
      <c r="D31" s="7">
        <v>900</v>
      </c>
    </row>
    <row r="32" spans="1:6" ht="15.6" x14ac:dyDescent="0.3">
      <c r="A32" s="2" t="s">
        <v>33</v>
      </c>
      <c r="B32" s="7">
        <v>100</v>
      </c>
      <c r="C32" s="7">
        <v>0</v>
      </c>
      <c r="D32" s="7">
        <v>100</v>
      </c>
      <c r="F32" s="49"/>
    </row>
    <row r="33" spans="1:6" ht="16.2" thickBot="1" x14ac:dyDescent="0.35">
      <c r="A33" s="2" t="s">
        <v>34</v>
      </c>
      <c r="B33" s="8">
        <v>1000</v>
      </c>
      <c r="C33" s="8">
        <v>0</v>
      </c>
      <c r="D33" s="8">
        <v>1000</v>
      </c>
      <c r="F33" s="49"/>
    </row>
    <row r="34" spans="1:6" s="1" customFormat="1" ht="15.6" x14ac:dyDescent="0.3">
      <c r="A34" s="1" t="s">
        <v>18</v>
      </c>
      <c r="B34" s="47">
        <f>SUM(B27:B33)</f>
        <v>4300</v>
      </c>
      <c r="C34" s="47">
        <f>SUM(C27:C33)</f>
        <v>6100</v>
      </c>
      <c r="D34" s="47">
        <f>SUM(D27:D33)</f>
        <v>9443</v>
      </c>
    </row>
    <row r="35" spans="1:6" x14ac:dyDescent="0.25">
      <c r="D35" s="7"/>
    </row>
    <row r="36" spans="1:6" ht="15.6" x14ac:dyDescent="0.3">
      <c r="A36" s="1" t="s">
        <v>35</v>
      </c>
      <c r="D36" s="7"/>
    </row>
    <row r="37" spans="1:6" x14ac:dyDescent="0.25">
      <c r="A37" s="2" t="s">
        <v>10</v>
      </c>
      <c r="B37" s="7">
        <v>4500</v>
      </c>
      <c r="C37" s="7">
        <f>200*12</f>
        <v>2400</v>
      </c>
      <c r="D37" s="7">
        <v>2400</v>
      </c>
    </row>
    <row r="38" spans="1:6" x14ac:dyDescent="0.25">
      <c r="A38" s="2" t="s">
        <v>36</v>
      </c>
      <c r="B38" s="7">
        <v>200</v>
      </c>
      <c r="D38" s="7">
        <v>200</v>
      </c>
    </row>
    <row r="39" spans="1:6" x14ac:dyDescent="0.25">
      <c r="A39" s="2" t="s">
        <v>134</v>
      </c>
      <c r="B39" s="7">
        <v>0</v>
      </c>
      <c r="C39" s="7">
        <v>1150</v>
      </c>
      <c r="D39" s="7">
        <v>1200</v>
      </c>
    </row>
    <row r="40" spans="1:6" x14ac:dyDescent="0.25">
      <c r="A40" s="2" t="s">
        <v>120</v>
      </c>
      <c r="B40" s="7">
        <v>1300</v>
      </c>
      <c r="C40" s="7">
        <v>1150</v>
      </c>
      <c r="D40" s="7">
        <v>1200</v>
      </c>
    </row>
    <row r="41" spans="1:6" x14ac:dyDescent="0.25">
      <c r="A41" s="2" t="s">
        <v>37</v>
      </c>
      <c r="B41" s="7">
        <v>2160</v>
      </c>
      <c r="C41" s="7">
        <v>2400</v>
      </c>
      <c r="D41" s="7">
        <v>2400</v>
      </c>
    </row>
    <row r="42" spans="1:6" x14ac:dyDescent="0.25">
      <c r="A42" s="2" t="s">
        <v>41</v>
      </c>
      <c r="B42" s="7">
        <v>2700</v>
      </c>
      <c r="C42" s="7">
        <f>185*12</f>
        <v>2220</v>
      </c>
      <c r="D42" s="7">
        <v>2250</v>
      </c>
    </row>
    <row r="43" spans="1:6" ht="15.6" thickBot="1" x14ac:dyDescent="0.3">
      <c r="A43" s="2" t="s">
        <v>11</v>
      </c>
      <c r="B43" s="8">
        <v>200</v>
      </c>
      <c r="C43" s="8">
        <f>115+60+25+120+150</f>
        <v>470</v>
      </c>
      <c r="D43" s="8">
        <v>500</v>
      </c>
    </row>
    <row r="44" spans="1:6" ht="15.6" x14ac:dyDescent="0.3">
      <c r="A44" s="1" t="s">
        <v>38</v>
      </c>
      <c r="B44" s="47">
        <f>SUM(B37:B43)</f>
        <v>11060</v>
      </c>
      <c r="C44" s="47">
        <f>SUM(C37:C43)</f>
        <v>9790</v>
      </c>
      <c r="D44" s="47">
        <f>SUM(D37:D43)</f>
        <v>10150</v>
      </c>
    </row>
    <row r="45" spans="1:6" x14ac:dyDescent="0.25">
      <c r="D45" s="7"/>
    </row>
    <row r="46" spans="1:6" ht="15.6" x14ac:dyDescent="0.3">
      <c r="A46" s="1" t="s">
        <v>13</v>
      </c>
      <c r="D46" s="7"/>
    </row>
    <row r="47" spans="1:6" x14ac:dyDescent="0.25">
      <c r="A47" s="2" t="s">
        <v>14</v>
      </c>
      <c r="B47" s="7">
        <v>12800</v>
      </c>
      <c r="C47" s="7">
        <v>8750</v>
      </c>
      <c r="D47" s="7">
        <v>9000</v>
      </c>
    </row>
    <row r="48" spans="1:6" x14ac:dyDescent="0.25">
      <c r="A48" s="2" t="s">
        <v>26</v>
      </c>
      <c r="B48" s="7">
        <v>500</v>
      </c>
      <c r="C48" s="7">
        <v>0</v>
      </c>
      <c r="D48" s="7">
        <v>500</v>
      </c>
    </row>
    <row r="49" spans="1:6" x14ac:dyDescent="0.25">
      <c r="A49" s="2" t="s">
        <v>25</v>
      </c>
      <c r="B49" s="7">
        <v>12633</v>
      </c>
      <c r="C49" s="7">
        <v>5400</v>
      </c>
      <c r="D49" s="7">
        <v>5700</v>
      </c>
    </row>
    <row r="50" spans="1:6" ht="15.6" thickBot="1" x14ac:dyDescent="0.3">
      <c r="A50" s="2" t="s">
        <v>15</v>
      </c>
      <c r="B50" s="8">
        <v>2600</v>
      </c>
      <c r="C50" s="8">
        <v>4000</v>
      </c>
      <c r="D50" s="8">
        <v>4200</v>
      </c>
    </row>
    <row r="51" spans="1:6" s="1" customFormat="1" ht="15.6" x14ac:dyDescent="0.3">
      <c r="A51" s="1" t="s">
        <v>16</v>
      </c>
      <c r="B51" s="47">
        <f>SUM(B47:B50)</f>
        <v>28533</v>
      </c>
      <c r="C51" s="47">
        <f>SUM(C47:C50)</f>
        <v>18150</v>
      </c>
      <c r="D51" s="47">
        <f>SUM(D47:D50)</f>
        <v>19400</v>
      </c>
    </row>
    <row r="52" spans="1:6" s="1" customFormat="1" ht="15.6" x14ac:dyDescent="0.3">
      <c r="A52" s="1" t="s">
        <v>133</v>
      </c>
      <c r="B52" s="47">
        <v>4800</v>
      </c>
      <c r="C52" s="47">
        <v>4800</v>
      </c>
      <c r="D52" s="47">
        <v>4800</v>
      </c>
    </row>
    <row r="53" spans="1:6" s="1" customFormat="1" ht="15.6" x14ac:dyDescent="0.3">
      <c r="A53" s="1" t="s">
        <v>17</v>
      </c>
      <c r="B53" s="47">
        <f>SUM(B22+B24+B34+B44+B51)</f>
        <v>72855</v>
      </c>
      <c r="C53" s="47">
        <f>SUM(C51+C44+C34+C24+C22)</f>
        <v>68076.25</v>
      </c>
      <c r="D53" s="47">
        <f>D52+D51+D44+D34+D24+D22</f>
        <v>78255</v>
      </c>
    </row>
    <row r="54" spans="1:6" ht="15.6" thickBot="1" x14ac:dyDescent="0.3"/>
    <row r="55" spans="1:6" ht="16.2" thickBot="1" x14ac:dyDescent="0.35">
      <c r="A55" s="97" t="s">
        <v>141</v>
      </c>
      <c r="B55" s="98"/>
      <c r="C55" s="99"/>
      <c r="F55" s="2">
        <v>1150</v>
      </c>
    </row>
    <row r="56" spans="1:6" x14ac:dyDescent="0.25">
      <c r="A56" s="2" t="s">
        <v>40</v>
      </c>
    </row>
  </sheetData>
  <mergeCells count="2">
    <mergeCell ref="A1:D2"/>
    <mergeCell ref="A55:C55"/>
  </mergeCells>
  <pageMargins left="0.75" right="0.75" top="0.52" bottom="0.35" header="0.5" footer="0.5"/>
  <pageSetup scale="79" orientation="portrait" r:id="rId1"/>
  <headerFooter alignWithMargins="0"/>
  <rowBreaks count="1" manualBreakCount="1">
    <brk id="56" max="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64D55-3B94-0349-B237-1532DCC1474C}">
  <dimension ref="A1:I26"/>
  <sheetViews>
    <sheetView topLeftCell="A4" zoomScale="69" zoomScaleNormal="69" workbookViewId="0">
      <selection activeCell="D10" sqref="D10:D15"/>
    </sheetView>
  </sheetViews>
  <sheetFormatPr defaultColWidth="8.77734375" defaultRowHeight="13.2" x14ac:dyDescent="0.25"/>
  <cols>
    <col min="1" max="1" width="23" customWidth="1"/>
    <col min="2" max="2" width="18.44140625" customWidth="1"/>
    <col min="3" max="3" width="26.21875" customWidth="1"/>
    <col min="4" max="4" width="19.44140625" customWidth="1"/>
    <col min="5" max="5" width="18.5546875" customWidth="1"/>
    <col min="6" max="6" width="15.21875" customWidth="1"/>
    <col min="7" max="7" width="10.77734375" bestFit="1" customWidth="1"/>
    <col min="8" max="8" width="12.44140625" customWidth="1"/>
    <col min="9" max="9" width="13.44140625" customWidth="1"/>
  </cols>
  <sheetData>
    <row r="1" spans="1:9" ht="13.8" thickBot="1" x14ac:dyDescent="0.3"/>
    <row r="2" spans="1:9" ht="37.5" customHeight="1" thickTop="1" thickBot="1" x14ac:dyDescent="0.35">
      <c r="A2" s="76" t="s">
        <v>43</v>
      </c>
      <c r="B2" s="77"/>
      <c r="C2" s="77"/>
      <c r="D2" s="77"/>
      <c r="E2" s="77"/>
      <c r="F2" s="78"/>
      <c r="G2" s="3"/>
    </row>
    <row r="3" spans="1:9" ht="78" x14ac:dyDescent="0.3">
      <c r="A3" s="21" t="s">
        <v>44</v>
      </c>
      <c r="B3" s="18" t="s">
        <v>70</v>
      </c>
      <c r="C3" s="18" t="s">
        <v>60</v>
      </c>
      <c r="D3" s="19" t="s">
        <v>45</v>
      </c>
      <c r="E3" s="18" t="s">
        <v>61</v>
      </c>
      <c r="F3" s="22" t="s">
        <v>46</v>
      </c>
    </row>
    <row r="4" spans="1:9" ht="15" x14ac:dyDescent="0.25">
      <c r="A4" s="23" t="s">
        <v>56</v>
      </c>
      <c r="B4" s="20">
        <v>1400</v>
      </c>
      <c r="C4" s="20">
        <f>SUM(I16/4/12)</f>
        <v>902.6676812770562</v>
      </c>
      <c r="D4" s="20">
        <f>SUM(B4+C4)</f>
        <v>2302.6676812770561</v>
      </c>
      <c r="E4" s="20">
        <f>SUM(H16/4/12)</f>
        <v>99.994226190476184</v>
      </c>
      <c r="F4" s="24">
        <f>SUM(B4+E4)</f>
        <v>1499.9942261904762</v>
      </c>
    </row>
    <row r="5" spans="1:9" ht="16.2" thickBot="1" x14ac:dyDescent="0.35">
      <c r="A5" s="25" t="s">
        <v>47</v>
      </c>
      <c r="B5" s="26">
        <f>B4*12*4</f>
        <v>67200</v>
      </c>
      <c r="C5" s="26">
        <f>SUM(C4*12*4)</f>
        <v>43328.0487012987</v>
      </c>
      <c r="D5" s="26">
        <f>SUM(D4*12*4)</f>
        <v>110528.04870129869</v>
      </c>
      <c r="E5" s="26">
        <f>SUM(E4*12*4)</f>
        <v>4799.7228571428568</v>
      </c>
      <c r="F5" s="27">
        <f>SUM(F4*4*12)</f>
        <v>71999.722857142857</v>
      </c>
    </row>
    <row r="6" spans="1:9" ht="13.8" thickTop="1" x14ac:dyDescent="0.25"/>
    <row r="7" spans="1:9" ht="13.8" thickBot="1" x14ac:dyDescent="0.3"/>
    <row r="8" spans="1:9" ht="16.2" thickTop="1" x14ac:dyDescent="0.3">
      <c r="A8" s="89" t="s">
        <v>129</v>
      </c>
      <c r="B8" s="80"/>
      <c r="C8" s="80"/>
      <c r="D8" s="80"/>
      <c r="E8" s="80"/>
      <c r="F8" s="80"/>
      <c r="G8" s="80"/>
      <c r="H8" s="80"/>
      <c r="I8" s="81"/>
    </row>
    <row r="9" spans="1:9" ht="38.25" customHeight="1" x14ac:dyDescent="0.25">
      <c r="A9" s="28" t="s">
        <v>51</v>
      </c>
      <c r="B9" s="15" t="s">
        <v>62</v>
      </c>
      <c r="C9" s="15" t="s">
        <v>63</v>
      </c>
      <c r="D9" s="16" t="s">
        <v>64</v>
      </c>
      <c r="E9" s="15" t="s">
        <v>130</v>
      </c>
      <c r="F9" s="15" t="s">
        <v>68</v>
      </c>
      <c r="G9" s="15" t="s">
        <v>65</v>
      </c>
      <c r="H9" s="17" t="s">
        <v>140</v>
      </c>
      <c r="I9" s="29" t="s">
        <v>131</v>
      </c>
    </row>
    <row r="10" spans="1:9" x14ac:dyDescent="0.25">
      <c r="A10" s="30" t="s">
        <v>29</v>
      </c>
      <c r="B10" s="12">
        <v>8</v>
      </c>
      <c r="C10" s="13">
        <v>15000</v>
      </c>
      <c r="D10" s="50">
        <f>E10/E16</f>
        <v>1.4779235174579715E-2</v>
      </c>
      <c r="E10" s="13">
        <v>80</v>
      </c>
      <c r="F10" s="12">
        <v>2</v>
      </c>
      <c r="G10" s="13">
        <f>SUM(C10-E10)</f>
        <v>14920</v>
      </c>
      <c r="H10" s="14">
        <f>SUM(I10*0.11)</f>
        <v>820.6</v>
      </c>
      <c r="I10" s="31">
        <f>SUM(G10/F10)</f>
        <v>7460</v>
      </c>
    </row>
    <row r="11" spans="1:9" x14ac:dyDescent="0.25">
      <c r="A11" s="30" t="s">
        <v>48</v>
      </c>
      <c r="B11" s="12">
        <v>20</v>
      </c>
      <c r="C11" s="13">
        <v>40000</v>
      </c>
      <c r="D11" s="50">
        <f>E11/E16</f>
        <v>0.17735082209495659</v>
      </c>
      <c r="E11" s="13">
        <v>960</v>
      </c>
      <c r="F11" s="12">
        <v>14</v>
      </c>
      <c r="G11" s="13">
        <f>SUM(C11-E11)</f>
        <v>39040</v>
      </c>
      <c r="H11" s="14">
        <f>SUM(I11*0.11)</f>
        <v>306.74285714285713</v>
      </c>
      <c r="I11" s="31">
        <f>SUM(G11/F11)</f>
        <v>2788.5714285714284</v>
      </c>
    </row>
    <row r="12" spans="1:9" x14ac:dyDescent="0.25">
      <c r="A12" s="30" t="s">
        <v>54</v>
      </c>
      <c r="B12" s="12">
        <v>8</v>
      </c>
      <c r="C12" s="13">
        <v>10000</v>
      </c>
      <c r="D12" s="50">
        <f>E12/E16</f>
        <v>0.11084426380934786</v>
      </c>
      <c r="E12" s="13">
        <v>600</v>
      </c>
      <c r="F12" s="12">
        <v>5</v>
      </c>
      <c r="G12" s="13">
        <f t="shared" ref="G12:G15" si="0">SUM(C12-E12)</f>
        <v>9400</v>
      </c>
      <c r="H12" s="14">
        <f>SUM(I12*0.11)</f>
        <v>206.8</v>
      </c>
      <c r="I12" s="31">
        <f t="shared" ref="I12:I15" si="1">SUM(G12/F12)</f>
        <v>1880</v>
      </c>
    </row>
    <row r="13" spans="1:9" x14ac:dyDescent="0.25">
      <c r="A13" s="30" t="s">
        <v>55</v>
      </c>
      <c r="B13" s="12">
        <v>50</v>
      </c>
      <c r="C13" s="13">
        <v>60000</v>
      </c>
      <c r="D13" s="50">
        <f>E13/E16</f>
        <v>0.10493256973951598</v>
      </c>
      <c r="E13" s="13">
        <v>568</v>
      </c>
      <c r="F13" s="12">
        <v>44</v>
      </c>
      <c r="G13" s="13">
        <f t="shared" si="0"/>
        <v>59432</v>
      </c>
      <c r="H13" s="14">
        <f>SUM(I13*0.11)</f>
        <v>148.58000000000001</v>
      </c>
      <c r="I13" s="31">
        <f t="shared" si="1"/>
        <v>1350.7272727272727</v>
      </c>
    </row>
    <row r="14" spans="1:9" x14ac:dyDescent="0.25">
      <c r="A14" s="30" t="s">
        <v>49</v>
      </c>
      <c r="B14" s="12">
        <v>20</v>
      </c>
      <c r="C14" s="13">
        <v>100000</v>
      </c>
      <c r="D14" s="50">
        <f>E14/E16</f>
        <v>0.33345649362645485</v>
      </c>
      <c r="E14" s="13">
        <v>1805</v>
      </c>
      <c r="F14" s="12">
        <v>4</v>
      </c>
      <c r="G14" s="13">
        <f t="shared" si="0"/>
        <v>98195</v>
      </c>
      <c r="H14" s="14">
        <v>2734</v>
      </c>
      <c r="I14" s="31">
        <f t="shared" si="1"/>
        <v>24548.75</v>
      </c>
    </row>
    <row r="15" spans="1:9" x14ac:dyDescent="0.25">
      <c r="A15" s="30" t="s">
        <v>52</v>
      </c>
      <c r="B15" s="12">
        <v>7</v>
      </c>
      <c r="C15" s="13">
        <v>12000</v>
      </c>
      <c r="D15" s="50">
        <f>E15/E16</f>
        <v>0.258636615555145</v>
      </c>
      <c r="E15" s="13">
        <v>1400</v>
      </c>
      <c r="F15" s="12">
        <v>2</v>
      </c>
      <c r="G15" s="13">
        <f t="shared" si="0"/>
        <v>10600</v>
      </c>
      <c r="H15" s="14">
        <f>SUM(I15*0.11)</f>
        <v>583</v>
      </c>
      <c r="I15" s="31">
        <f t="shared" si="1"/>
        <v>5300</v>
      </c>
    </row>
    <row r="16" spans="1:9" ht="13.8" thickBot="1" x14ac:dyDescent="0.3">
      <c r="A16" s="32" t="s">
        <v>53</v>
      </c>
      <c r="B16" s="33"/>
      <c r="C16" s="34">
        <f>SUM(C10:C15)</f>
        <v>237000</v>
      </c>
      <c r="D16" s="35">
        <f>SUM(D10:D15)</f>
        <v>1</v>
      </c>
      <c r="E16" s="34">
        <f>SUM(E10:E15)</f>
        <v>5413</v>
      </c>
      <c r="F16" s="34"/>
      <c r="G16" s="34">
        <f>SUM(G10:G15)</f>
        <v>231587</v>
      </c>
      <c r="H16" s="36">
        <f>SUM(H10:H15)</f>
        <v>4799.7228571428568</v>
      </c>
      <c r="I16" s="37">
        <f>SUM(I10:I15)</f>
        <v>43328.0487012987</v>
      </c>
    </row>
    <row r="17" spans="1:9" ht="14.4" thickTop="1" thickBot="1" x14ac:dyDescent="0.3"/>
    <row r="18" spans="1:9" ht="12.75" customHeight="1" x14ac:dyDescent="0.25">
      <c r="A18" s="90" t="s">
        <v>71</v>
      </c>
      <c r="B18" s="91"/>
      <c r="C18" s="91"/>
      <c r="D18" s="91"/>
      <c r="E18" s="91"/>
      <c r="F18" s="91"/>
      <c r="G18" s="91"/>
      <c r="H18" s="91"/>
      <c r="I18" s="92"/>
    </row>
    <row r="19" spans="1:9" ht="13.8" thickBot="1" x14ac:dyDescent="0.3">
      <c r="A19" s="93"/>
      <c r="B19" s="94"/>
      <c r="C19" s="94"/>
      <c r="D19" s="94"/>
      <c r="E19" s="94"/>
      <c r="F19" s="94"/>
      <c r="G19" s="94"/>
      <c r="H19" s="94"/>
      <c r="I19" s="95"/>
    </row>
    <row r="26" spans="1:9" x14ac:dyDescent="0.25">
      <c r="E26">
        <f>5199/12/4</f>
        <v>108.3125</v>
      </c>
    </row>
  </sheetData>
  <mergeCells count="3">
    <mergeCell ref="A2:F2"/>
    <mergeCell ref="A8:I8"/>
    <mergeCell ref="A18:I19"/>
  </mergeCells>
  <pageMargins left="0.2" right="0.23" top="1" bottom="0.52" header="0.5" footer="0.5"/>
  <pageSetup scale="76" orientation="landscape" r:id="rId1"/>
  <headerFooter alignWithMargins="0">
    <oddHeader xml:space="preserve">&amp;C&amp;"Arial,Bold"&amp;12Oakland Arms Condominium Association, Inc.
Reserves 2021
</oddHeader>
    <oddFooter>&amp;L&amp;T&amp;D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E5AE5-B474-4CDF-9E5A-3907C9387E6F}">
  <sheetPr>
    <tabColor rgb="FFFFFF00"/>
  </sheetPr>
  <dimension ref="A1:G56"/>
  <sheetViews>
    <sheetView view="pageBreakPreview" topLeftCell="A31" zoomScaleNormal="100" zoomScaleSheetLayoutView="100" workbookViewId="0">
      <selection activeCell="C48" sqref="C48"/>
    </sheetView>
  </sheetViews>
  <sheetFormatPr defaultColWidth="9.21875" defaultRowHeight="15" x14ac:dyDescent="0.25"/>
  <cols>
    <col min="1" max="1" width="39.5546875" style="2" customWidth="1"/>
    <col min="2" max="2" width="20.77734375" style="7" bestFit="1" customWidth="1"/>
    <col min="3" max="3" width="21.44140625" style="7" customWidth="1"/>
    <col min="4" max="4" width="20.77734375" style="2" customWidth="1"/>
    <col min="5" max="16384" width="9.21875" style="2"/>
  </cols>
  <sheetData>
    <row r="1" spans="1:7" ht="15" customHeight="1" x14ac:dyDescent="0.25">
      <c r="A1" s="96" t="s">
        <v>142</v>
      </c>
      <c r="B1" s="96"/>
      <c r="C1" s="96"/>
      <c r="D1" s="96"/>
    </row>
    <row r="2" spans="1:7" ht="15" customHeight="1" x14ac:dyDescent="0.25">
      <c r="A2" s="96"/>
      <c r="B2" s="96"/>
      <c r="C2" s="96"/>
      <c r="D2" s="96"/>
    </row>
    <row r="4" spans="1:7" ht="31.2" x14ac:dyDescent="0.3">
      <c r="B4" s="41" t="s">
        <v>87</v>
      </c>
      <c r="C4" s="41" t="s">
        <v>80</v>
      </c>
      <c r="D4" s="41" t="s">
        <v>94</v>
      </c>
    </row>
    <row r="5" spans="1:7" ht="15.6" x14ac:dyDescent="0.3">
      <c r="B5" s="46">
        <v>2021</v>
      </c>
      <c r="C5" s="46">
        <v>2021</v>
      </c>
      <c r="D5" s="46">
        <v>2022</v>
      </c>
    </row>
    <row r="6" spans="1:7" ht="15.6" x14ac:dyDescent="0.3">
      <c r="A6" s="1" t="s">
        <v>0</v>
      </c>
      <c r="D6" s="7"/>
    </row>
    <row r="7" spans="1:7" x14ac:dyDescent="0.25">
      <c r="A7" s="2" t="s">
        <v>57</v>
      </c>
      <c r="B7" s="7">
        <v>5500</v>
      </c>
      <c r="C7" s="7">
        <v>5500</v>
      </c>
      <c r="D7" s="7">
        <v>5500</v>
      </c>
    </row>
    <row r="8" spans="1:7" x14ac:dyDescent="0.25">
      <c r="A8" s="2" t="s">
        <v>21</v>
      </c>
      <c r="B8" s="7">
        <v>5</v>
      </c>
      <c r="C8" s="7">
        <v>1</v>
      </c>
      <c r="D8" s="7">
        <v>5</v>
      </c>
    </row>
    <row r="9" spans="1:7" x14ac:dyDescent="0.25">
      <c r="A9" s="2" t="s">
        <v>22</v>
      </c>
      <c r="B9" s="7">
        <v>50</v>
      </c>
      <c r="C9" s="7">
        <v>0</v>
      </c>
      <c r="D9" s="7">
        <v>50</v>
      </c>
    </row>
    <row r="10" spans="1:7" x14ac:dyDescent="0.25">
      <c r="A10" s="2" t="s">
        <v>23</v>
      </c>
      <c r="B10" s="7">
        <v>700</v>
      </c>
      <c r="C10" s="7">
        <v>2200</v>
      </c>
      <c r="D10" s="7">
        <v>700</v>
      </c>
    </row>
    <row r="11" spans="1:7" x14ac:dyDescent="0.25">
      <c r="A11" s="2" t="s">
        <v>72</v>
      </c>
      <c r="B11" s="7">
        <f>1400*4*12</f>
        <v>67200</v>
      </c>
      <c r="C11" s="7">
        <v>57200</v>
      </c>
      <c r="D11" s="7">
        <f>1400*12*4</f>
        <v>67200</v>
      </c>
      <c r="G11" s="2">
        <f>1250*2*12</f>
        <v>30000</v>
      </c>
    </row>
    <row r="12" spans="1:7" x14ac:dyDescent="0.25">
      <c r="A12" s="2" t="s">
        <v>133</v>
      </c>
      <c r="B12" s="7">
        <v>4800</v>
      </c>
      <c r="C12" s="7">
        <v>4800</v>
      </c>
      <c r="D12" s="7">
        <v>4800</v>
      </c>
    </row>
    <row r="13" spans="1:7" s="1" customFormat="1" ht="15.6" x14ac:dyDescent="0.3">
      <c r="A13" s="1" t="s">
        <v>3</v>
      </c>
      <c r="B13" s="47">
        <f>SUM(B7:B12)</f>
        <v>78255</v>
      </c>
      <c r="C13" s="47">
        <f>SUM(C7:C12)</f>
        <v>69701</v>
      </c>
      <c r="D13" s="47">
        <f>SUM(D7:D12)</f>
        <v>78255</v>
      </c>
    </row>
    <row r="14" spans="1:7" ht="15.6" x14ac:dyDescent="0.3">
      <c r="A14" s="1" t="s">
        <v>4</v>
      </c>
      <c r="D14" s="7"/>
    </row>
    <row r="15" spans="1:7" ht="15.6" x14ac:dyDescent="0.3">
      <c r="A15" s="1" t="s">
        <v>5</v>
      </c>
      <c r="D15" s="7"/>
    </row>
    <row r="16" spans="1:7" x14ac:dyDescent="0.25">
      <c r="A16" s="2" t="s">
        <v>24</v>
      </c>
      <c r="B16" s="7">
        <v>2100</v>
      </c>
      <c r="C16" s="7">
        <v>2280</v>
      </c>
      <c r="D16" s="7">
        <v>2100</v>
      </c>
    </row>
    <row r="17" spans="1:6" x14ac:dyDescent="0.25">
      <c r="A17" s="2" t="s">
        <v>6</v>
      </c>
      <c r="B17" s="7">
        <v>100</v>
      </c>
      <c r="C17" s="7">
        <v>85</v>
      </c>
      <c r="D17" s="7">
        <v>100</v>
      </c>
    </row>
    <row r="18" spans="1:6" x14ac:dyDescent="0.25">
      <c r="A18" s="2" t="s">
        <v>89</v>
      </c>
      <c r="B18" s="7">
        <v>350</v>
      </c>
      <c r="C18" s="7">
        <v>0</v>
      </c>
      <c r="D18" s="7">
        <v>350</v>
      </c>
    </row>
    <row r="19" spans="1:6" x14ac:dyDescent="0.25">
      <c r="A19" s="2" t="s">
        <v>12</v>
      </c>
      <c r="B19" s="7">
        <v>250</v>
      </c>
      <c r="C19" s="7">
        <v>250</v>
      </c>
      <c r="D19" s="7">
        <v>250</v>
      </c>
    </row>
    <row r="20" spans="1:6" x14ac:dyDescent="0.25">
      <c r="A20" s="2" t="s">
        <v>7</v>
      </c>
      <c r="B20" s="7">
        <v>62</v>
      </c>
      <c r="C20" s="7">
        <v>61.25</v>
      </c>
      <c r="D20" s="7">
        <v>62</v>
      </c>
    </row>
    <row r="21" spans="1:6" ht="15.6" thickBot="1" x14ac:dyDescent="0.3">
      <c r="A21" s="2" t="s">
        <v>39</v>
      </c>
      <c r="B21" s="8">
        <v>3600</v>
      </c>
      <c r="C21" s="8">
        <v>3600</v>
      </c>
      <c r="D21" s="8">
        <v>3600</v>
      </c>
    </row>
    <row r="22" spans="1:6" s="1" customFormat="1" ht="15.6" x14ac:dyDescent="0.3">
      <c r="A22" s="1" t="s">
        <v>19</v>
      </c>
      <c r="B22" s="47">
        <f>SUM(B16:B21)</f>
        <v>6462</v>
      </c>
      <c r="C22" s="47">
        <f>SUM(C16:C21)</f>
        <v>6276.25</v>
      </c>
      <c r="D22" s="47">
        <f>SUM(D16:D21)</f>
        <v>6462</v>
      </c>
    </row>
    <row r="23" spans="1:6" x14ac:dyDescent="0.25">
      <c r="D23" s="7"/>
    </row>
    <row r="24" spans="1:6" s="1" customFormat="1" ht="15.6" x14ac:dyDescent="0.3">
      <c r="A24" s="1" t="s">
        <v>8</v>
      </c>
      <c r="B24" s="48">
        <v>28000</v>
      </c>
      <c r="C24" s="48">
        <v>28000</v>
      </c>
      <c r="D24" s="48">
        <v>28000</v>
      </c>
      <c r="F24" s="1" t="s">
        <v>139</v>
      </c>
    </row>
    <row r="25" spans="1:6" x14ac:dyDescent="0.25">
      <c r="B25" s="7" t="s">
        <v>40</v>
      </c>
      <c r="D25" s="7" t="s">
        <v>40</v>
      </c>
      <c r="F25" s="2" t="s">
        <v>135</v>
      </c>
    </row>
    <row r="26" spans="1:6" ht="15.6" x14ac:dyDescent="0.3">
      <c r="A26" s="1" t="s">
        <v>9</v>
      </c>
      <c r="D26" s="7"/>
      <c r="F26" s="2" t="s">
        <v>123</v>
      </c>
    </row>
    <row r="27" spans="1:6" x14ac:dyDescent="0.25">
      <c r="A27" s="2" t="s">
        <v>27</v>
      </c>
      <c r="B27" s="7">
        <v>0</v>
      </c>
      <c r="C27" s="7">
        <v>250</v>
      </c>
      <c r="D27" s="7">
        <v>0</v>
      </c>
      <c r="F27" s="2" t="s">
        <v>138</v>
      </c>
    </row>
    <row r="28" spans="1:6" x14ac:dyDescent="0.25">
      <c r="A28" s="2" t="s">
        <v>28</v>
      </c>
      <c r="B28" s="7">
        <v>5000</v>
      </c>
      <c r="C28" s="7">
        <v>3600</v>
      </c>
      <c r="D28" s="7">
        <v>5000</v>
      </c>
      <c r="F28" s="2" t="s">
        <v>137</v>
      </c>
    </row>
    <row r="29" spans="1:6" x14ac:dyDescent="0.25">
      <c r="A29" s="2" t="s">
        <v>30</v>
      </c>
      <c r="B29" s="7">
        <v>1243</v>
      </c>
      <c r="C29" s="7">
        <v>0</v>
      </c>
      <c r="D29" s="7">
        <v>1243</v>
      </c>
      <c r="F29" s="2" t="s">
        <v>136</v>
      </c>
    </row>
    <row r="30" spans="1:6" x14ac:dyDescent="0.25">
      <c r="A30" s="2" t="s">
        <v>31</v>
      </c>
      <c r="B30" s="7">
        <v>1200</v>
      </c>
      <c r="C30" s="7">
        <v>2500</v>
      </c>
      <c r="D30" s="7">
        <v>1200</v>
      </c>
      <c r="F30" s="2" t="s">
        <v>127</v>
      </c>
    </row>
    <row r="31" spans="1:6" x14ac:dyDescent="0.25">
      <c r="A31" s="2" t="s">
        <v>32</v>
      </c>
      <c r="B31" s="7">
        <v>900</v>
      </c>
      <c r="C31" s="7">
        <v>0</v>
      </c>
      <c r="D31" s="7">
        <v>900</v>
      </c>
    </row>
    <row r="32" spans="1:6" ht="15.6" x14ac:dyDescent="0.3">
      <c r="A32" s="2" t="s">
        <v>33</v>
      </c>
      <c r="B32" s="7">
        <v>100</v>
      </c>
      <c r="C32" s="7">
        <v>0</v>
      </c>
      <c r="D32" s="7">
        <v>100</v>
      </c>
      <c r="F32" s="49"/>
    </row>
    <row r="33" spans="1:6" ht="16.2" thickBot="1" x14ac:dyDescent="0.35">
      <c r="A33" s="2" t="s">
        <v>34</v>
      </c>
      <c r="B33" s="8">
        <v>1000</v>
      </c>
      <c r="C33" s="8">
        <v>5700</v>
      </c>
      <c r="D33" s="8">
        <v>1000</v>
      </c>
      <c r="F33" s="49"/>
    </row>
    <row r="34" spans="1:6" s="1" customFormat="1" ht="15.6" x14ac:dyDescent="0.3">
      <c r="A34" s="1" t="s">
        <v>18</v>
      </c>
      <c r="B34" s="47">
        <f>SUM(B27:B33)</f>
        <v>9443</v>
      </c>
      <c r="C34" s="47">
        <f>SUM(C27:C33)</f>
        <v>12050</v>
      </c>
      <c r="D34" s="47">
        <f>SUM(D27:D33)</f>
        <v>9443</v>
      </c>
    </row>
    <row r="35" spans="1:6" x14ac:dyDescent="0.25">
      <c r="D35" s="7"/>
    </row>
    <row r="36" spans="1:6" ht="15.6" x14ac:dyDescent="0.3">
      <c r="A36" s="1" t="s">
        <v>35</v>
      </c>
      <c r="D36" s="7"/>
    </row>
    <row r="37" spans="1:6" x14ac:dyDescent="0.25">
      <c r="A37" s="2" t="s">
        <v>10</v>
      </c>
      <c r="B37" s="7">
        <v>2400</v>
      </c>
      <c r="C37" s="7">
        <f>200*12</f>
        <v>2400</v>
      </c>
      <c r="D37" s="7">
        <v>2400</v>
      </c>
    </row>
    <row r="38" spans="1:6" x14ac:dyDescent="0.25">
      <c r="A38" s="2" t="s">
        <v>36</v>
      </c>
      <c r="B38" s="7">
        <v>200</v>
      </c>
      <c r="D38" s="7">
        <v>200</v>
      </c>
    </row>
    <row r="39" spans="1:6" x14ac:dyDescent="0.25">
      <c r="A39" s="2" t="s">
        <v>134</v>
      </c>
      <c r="B39" s="7">
        <v>1200</v>
      </c>
      <c r="C39" s="7">
        <v>1150</v>
      </c>
      <c r="D39" s="7">
        <v>1200</v>
      </c>
    </row>
    <row r="40" spans="1:6" x14ac:dyDescent="0.25">
      <c r="A40" s="2" t="s">
        <v>120</v>
      </c>
      <c r="B40" s="7">
        <v>1200</v>
      </c>
      <c r="C40" s="7">
        <v>1150</v>
      </c>
      <c r="D40" s="7">
        <v>1200</v>
      </c>
    </row>
    <row r="41" spans="1:6" x14ac:dyDescent="0.25">
      <c r="A41" s="2" t="s">
        <v>37</v>
      </c>
      <c r="B41" s="7">
        <v>2400</v>
      </c>
      <c r="C41" s="7">
        <v>2200</v>
      </c>
      <c r="D41" s="7">
        <v>2400</v>
      </c>
    </row>
    <row r="42" spans="1:6" x14ac:dyDescent="0.25">
      <c r="A42" s="2" t="s">
        <v>41</v>
      </c>
      <c r="B42" s="7">
        <v>2250</v>
      </c>
      <c r="C42" s="7">
        <v>2800</v>
      </c>
      <c r="D42" s="7">
        <v>2250</v>
      </c>
    </row>
    <row r="43" spans="1:6" ht="15.6" thickBot="1" x14ac:dyDescent="0.3">
      <c r="A43" s="2" t="s">
        <v>11</v>
      </c>
      <c r="B43" s="8">
        <v>500</v>
      </c>
      <c r="C43" s="8">
        <f>115+60+25+120+150</f>
        <v>470</v>
      </c>
      <c r="D43" s="8">
        <v>500</v>
      </c>
    </row>
    <row r="44" spans="1:6" ht="15.6" x14ac:dyDescent="0.3">
      <c r="A44" s="1" t="s">
        <v>38</v>
      </c>
      <c r="B44" s="47">
        <f>SUM(B37:B43)</f>
        <v>10150</v>
      </c>
      <c r="C44" s="47">
        <f>SUM(C37:C43)</f>
        <v>10170</v>
      </c>
      <c r="D44" s="47">
        <f>SUM(D37:D43)</f>
        <v>10150</v>
      </c>
    </row>
    <row r="45" spans="1:6" x14ac:dyDescent="0.25">
      <c r="D45" s="7"/>
    </row>
    <row r="46" spans="1:6" ht="15.6" x14ac:dyDescent="0.3">
      <c r="A46" s="1" t="s">
        <v>13</v>
      </c>
      <c r="D46" s="7"/>
    </row>
    <row r="47" spans="1:6" x14ac:dyDescent="0.25">
      <c r="A47" s="2" t="s">
        <v>14</v>
      </c>
      <c r="B47" s="7">
        <v>9000</v>
      </c>
      <c r="C47" s="7">
        <v>9300</v>
      </c>
      <c r="D47" s="7">
        <v>9000</v>
      </c>
    </row>
    <row r="48" spans="1:6" x14ac:dyDescent="0.25">
      <c r="A48" s="2" t="s">
        <v>26</v>
      </c>
      <c r="B48" s="7">
        <v>500</v>
      </c>
      <c r="C48" s="7">
        <v>0</v>
      </c>
      <c r="D48" s="7">
        <v>500</v>
      </c>
    </row>
    <row r="49" spans="1:6" x14ac:dyDescent="0.25">
      <c r="A49" s="2" t="s">
        <v>25</v>
      </c>
      <c r="B49" s="7">
        <v>5700</v>
      </c>
      <c r="C49" s="7">
        <v>3600</v>
      </c>
      <c r="D49" s="7">
        <v>5700</v>
      </c>
    </row>
    <row r="50" spans="1:6" ht="15.6" thickBot="1" x14ac:dyDescent="0.3">
      <c r="A50" s="2" t="s">
        <v>15</v>
      </c>
      <c r="B50" s="8">
        <v>4200</v>
      </c>
      <c r="C50" s="8">
        <v>3600</v>
      </c>
      <c r="D50" s="8">
        <v>4200</v>
      </c>
    </row>
    <row r="51" spans="1:6" s="1" customFormat="1" ht="15.6" x14ac:dyDescent="0.3">
      <c r="A51" s="1" t="s">
        <v>16</v>
      </c>
      <c r="B51" s="47">
        <f>SUM(B47:B50)</f>
        <v>19400</v>
      </c>
      <c r="C51" s="47">
        <f>SUM(C47:C50)</f>
        <v>16500</v>
      </c>
      <c r="D51" s="47">
        <f>SUM(D47:D50)</f>
        <v>19400</v>
      </c>
    </row>
    <row r="52" spans="1:6" s="1" customFormat="1" ht="15.6" x14ac:dyDescent="0.3">
      <c r="A52" s="1" t="s">
        <v>133</v>
      </c>
      <c r="B52" s="47">
        <v>4800</v>
      </c>
      <c r="C52" s="47">
        <v>4800</v>
      </c>
      <c r="D52" s="47">
        <v>4800</v>
      </c>
    </row>
    <row r="53" spans="1:6" s="1" customFormat="1" ht="15.6" x14ac:dyDescent="0.3">
      <c r="A53" s="1" t="s">
        <v>17</v>
      </c>
      <c r="B53" s="47">
        <f t="shared" ref="B53:C53" si="0">B52+B51+B44+B34+B24+B22</f>
        <v>78255</v>
      </c>
      <c r="C53" s="47">
        <f t="shared" si="0"/>
        <v>77796.25</v>
      </c>
      <c r="D53" s="47">
        <f>D52+D51+D44+D34+D24+D22</f>
        <v>78255</v>
      </c>
    </row>
    <row r="54" spans="1:6" ht="15.6" thickBot="1" x14ac:dyDescent="0.3"/>
    <row r="55" spans="1:6" ht="16.2" thickBot="1" x14ac:dyDescent="0.35">
      <c r="A55" s="97" t="s">
        <v>143</v>
      </c>
      <c r="B55" s="98"/>
      <c r="C55" s="99"/>
      <c r="F55" s="2">
        <v>1150</v>
      </c>
    </row>
    <row r="56" spans="1:6" x14ac:dyDescent="0.25">
      <c r="A56" s="2" t="s">
        <v>40</v>
      </c>
    </row>
  </sheetData>
  <mergeCells count="2">
    <mergeCell ref="A1:D2"/>
    <mergeCell ref="A55:C55"/>
  </mergeCells>
  <pageMargins left="0.75" right="0.75" top="0.52" bottom="0.35" header="0.5" footer="0.5"/>
  <pageSetup scale="79" orientation="portrait" r:id="rId1"/>
  <headerFooter alignWithMargins="0"/>
  <rowBreaks count="1" manualBreakCount="1">
    <brk id="56" max="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C4142-13C7-46AE-970F-0EE791D6732E}">
  <sheetPr>
    <tabColor rgb="FFFFFF00"/>
  </sheetPr>
  <dimension ref="A1:I26"/>
  <sheetViews>
    <sheetView zoomScale="84" zoomScaleNormal="84" workbookViewId="0">
      <selection activeCell="E4" sqref="E4"/>
    </sheetView>
  </sheetViews>
  <sheetFormatPr defaultColWidth="8.77734375" defaultRowHeight="13.2" x14ac:dyDescent="0.25"/>
  <cols>
    <col min="1" max="1" width="23" customWidth="1"/>
    <col min="2" max="2" width="18.44140625" customWidth="1"/>
    <col min="3" max="3" width="26.21875" customWidth="1"/>
    <col min="4" max="4" width="19.44140625" customWidth="1"/>
    <col min="5" max="5" width="18.5546875" customWidth="1"/>
    <col min="6" max="6" width="15.21875" customWidth="1"/>
    <col min="7" max="7" width="10.77734375" bestFit="1" customWidth="1"/>
    <col min="8" max="8" width="12.44140625" customWidth="1"/>
    <col min="9" max="9" width="13.44140625" customWidth="1"/>
  </cols>
  <sheetData>
    <row r="1" spans="1:9" ht="13.8" thickBot="1" x14ac:dyDescent="0.3"/>
    <row r="2" spans="1:9" ht="37.5" customHeight="1" thickTop="1" thickBot="1" x14ac:dyDescent="0.35">
      <c r="A2" s="76" t="s">
        <v>43</v>
      </c>
      <c r="B2" s="77"/>
      <c r="C2" s="77"/>
      <c r="D2" s="77"/>
      <c r="E2" s="77"/>
      <c r="F2" s="78"/>
      <c r="G2" s="3"/>
    </row>
    <row r="3" spans="1:9" ht="78" x14ac:dyDescent="0.3">
      <c r="A3" s="21" t="s">
        <v>44</v>
      </c>
      <c r="B3" s="18" t="s">
        <v>70</v>
      </c>
      <c r="C3" s="18" t="s">
        <v>60</v>
      </c>
      <c r="D3" s="19" t="s">
        <v>45</v>
      </c>
      <c r="E3" s="18" t="s">
        <v>61</v>
      </c>
      <c r="F3" s="22" t="s">
        <v>46</v>
      </c>
    </row>
    <row r="4" spans="1:9" ht="15" x14ac:dyDescent="0.25">
      <c r="A4" s="23" t="s">
        <v>56</v>
      </c>
      <c r="B4" s="20">
        <v>1400</v>
      </c>
      <c r="C4" s="20">
        <f>SUM(I16/4/12)</f>
        <v>1353.8933984297357</v>
      </c>
      <c r="D4" s="20">
        <f>SUM(B4+C4)</f>
        <v>2753.8933984297355</v>
      </c>
      <c r="E4" s="20">
        <f>SUM(H16/4/12)</f>
        <v>130.87653771615979</v>
      </c>
      <c r="F4" s="24">
        <f>SUM(B4+E4)</f>
        <v>1530.8765377161599</v>
      </c>
    </row>
    <row r="5" spans="1:9" ht="16.2" thickBot="1" x14ac:dyDescent="0.35">
      <c r="A5" s="25" t="s">
        <v>47</v>
      </c>
      <c r="B5" s="26">
        <f>B4*12*4</f>
        <v>67200</v>
      </c>
      <c r="C5" s="26">
        <f>SUM(C4*12*4)</f>
        <v>64986.883124627318</v>
      </c>
      <c r="D5" s="26">
        <f>SUM(D4*12*4)</f>
        <v>132186.88312462729</v>
      </c>
      <c r="E5" s="26">
        <f>SUM(E4*12*4)</f>
        <v>6282.0738103756703</v>
      </c>
      <c r="F5" s="27">
        <f>SUM(F4*4*12)</f>
        <v>73482.073810375674</v>
      </c>
    </row>
    <row r="6" spans="1:9" ht="13.8" thickTop="1" x14ac:dyDescent="0.25"/>
    <row r="7" spans="1:9" ht="13.8" thickBot="1" x14ac:dyDescent="0.3"/>
    <row r="8" spans="1:9" ht="16.2" thickTop="1" x14ac:dyDescent="0.3">
      <c r="A8" s="89" t="s">
        <v>144</v>
      </c>
      <c r="B8" s="80"/>
      <c r="C8" s="80"/>
      <c r="D8" s="80"/>
      <c r="E8" s="80"/>
      <c r="F8" s="80"/>
      <c r="G8" s="80"/>
      <c r="H8" s="80"/>
      <c r="I8" s="81"/>
    </row>
    <row r="9" spans="1:9" ht="69.75" customHeight="1" x14ac:dyDescent="0.25">
      <c r="A9" s="28" t="s">
        <v>51</v>
      </c>
      <c r="B9" s="15" t="s">
        <v>62</v>
      </c>
      <c r="C9" s="15" t="s">
        <v>63</v>
      </c>
      <c r="D9" s="16" t="s">
        <v>64</v>
      </c>
      <c r="E9" s="15" t="s">
        <v>145</v>
      </c>
      <c r="F9" s="15" t="s">
        <v>68</v>
      </c>
      <c r="G9" s="15" t="s">
        <v>65</v>
      </c>
      <c r="H9" s="17" t="s">
        <v>146</v>
      </c>
      <c r="I9" s="29" t="s">
        <v>131</v>
      </c>
    </row>
    <row r="10" spans="1:9" x14ac:dyDescent="0.25">
      <c r="A10" s="30" t="s">
        <v>29</v>
      </c>
      <c r="B10" s="12">
        <v>8</v>
      </c>
      <c r="C10" s="13">
        <v>15000</v>
      </c>
      <c r="D10" s="50">
        <f>E10/E16</f>
        <v>1.4779235174579715E-2</v>
      </c>
      <c r="E10" s="13">
        <v>80</v>
      </c>
      <c r="F10" s="12">
        <v>1</v>
      </c>
      <c r="G10" s="13">
        <f>SUM(C10-E10)</f>
        <v>14920</v>
      </c>
      <c r="H10" s="14">
        <f>SUM(I10*0.11)</f>
        <v>1641.2</v>
      </c>
      <c r="I10" s="31">
        <f>SUM(G10/F10)</f>
        <v>14920</v>
      </c>
    </row>
    <row r="11" spans="1:9" x14ac:dyDescent="0.25">
      <c r="A11" s="30" t="s">
        <v>48</v>
      </c>
      <c r="B11" s="12">
        <v>20</v>
      </c>
      <c r="C11" s="13">
        <v>40000</v>
      </c>
      <c r="D11" s="50">
        <f>E11/E16</f>
        <v>0.17735082209495659</v>
      </c>
      <c r="E11" s="13">
        <v>960</v>
      </c>
      <c r="F11" s="12">
        <v>13</v>
      </c>
      <c r="G11" s="13">
        <f>SUM(C11-E11)</f>
        <v>39040</v>
      </c>
      <c r="H11" s="14">
        <f>SUM(I11*0.11)</f>
        <v>330.3384615384615</v>
      </c>
      <c r="I11" s="31">
        <f>SUM(G11/F11)</f>
        <v>3003.0769230769229</v>
      </c>
    </row>
    <row r="12" spans="1:9" x14ac:dyDescent="0.25">
      <c r="A12" s="30" t="s">
        <v>54</v>
      </c>
      <c r="B12" s="12">
        <v>8</v>
      </c>
      <c r="C12" s="13">
        <v>10000</v>
      </c>
      <c r="D12" s="50">
        <f>E12/E16</f>
        <v>0.11084426380934786</v>
      </c>
      <c r="E12" s="13">
        <v>600</v>
      </c>
      <c r="F12" s="12">
        <v>4</v>
      </c>
      <c r="G12" s="13">
        <f t="shared" ref="G12:G15" si="0">SUM(C12-E12)</f>
        <v>9400</v>
      </c>
      <c r="H12" s="14">
        <f>SUM(I12*0.11)</f>
        <v>258.5</v>
      </c>
      <c r="I12" s="31">
        <f t="shared" ref="I12:I15" si="1">SUM(G12/F12)</f>
        <v>2350</v>
      </c>
    </row>
    <row r="13" spans="1:9" x14ac:dyDescent="0.25">
      <c r="A13" s="30" t="s">
        <v>55</v>
      </c>
      <c r="B13" s="12">
        <v>50</v>
      </c>
      <c r="C13" s="13">
        <v>60000</v>
      </c>
      <c r="D13" s="50">
        <f>E13/E16</f>
        <v>0.10493256973951598</v>
      </c>
      <c r="E13" s="13">
        <v>568</v>
      </c>
      <c r="F13" s="12">
        <v>43</v>
      </c>
      <c r="G13" s="13">
        <f t="shared" si="0"/>
        <v>59432</v>
      </c>
      <c r="H13" s="14">
        <f>SUM(I13*0.11)</f>
        <v>152.03534883720931</v>
      </c>
      <c r="I13" s="31">
        <f t="shared" si="1"/>
        <v>1382.1395348837209</v>
      </c>
    </row>
    <row r="14" spans="1:9" x14ac:dyDescent="0.25">
      <c r="A14" s="30" t="s">
        <v>49</v>
      </c>
      <c r="B14" s="12">
        <v>20</v>
      </c>
      <c r="C14" s="13">
        <v>100000</v>
      </c>
      <c r="D14" s="50">
        <f>E14/E16</f>
        <v>0.33345649362645485</v>
      </c>
      <c r="E14" s="13">
        <v>1805</v>
      </c>
      <c r="F14" s="12">
        <v>3</v>
      </c>
      <c r="G14" s="13">
        <f t="shared" si="0"/>
        <v>98195</v>
      </c>
      <c r="H14" s="14">
        <v>2734</v>
      </c>
      <c r="I14" s="31">
        <f t="shared" si="1"/>
        <v>32731.666666666668</v>
      </c>
    </row>
    <row r="15" spans="1:9" x14ac:dyDescent="0.25">
      <c r="A15" s="30" t="s">
        <v>52</v>
      </c>
      <c r="B15" s="12">
        <v>7</v>
      </c>
      <c r="C15" s="13">
        <v>12000</v>
      </c>
      <c r="D15" s="50">
        <f>E15/E16</f>
        <v>0.258636615555145</v>
      </c>
      <c r="E15" s="13">
        <v>1400</v>
      </c>
      <c r="F15" s="12">
        <v>1</v>
      </c>
      <c r="G15" s="13">
        <f t="shared" si="0"/>
        <v>10600</v>
      </c>
      <c r="H15" s="14">
        <f>SUM(I15*0.11)</f>
        <v>1166</v>
      </c>
      <c r="I15" s="31">
        <f t="shared" si="1"/>
        <v>10600</v>
      </c>
    </row>
    <row r="16" spans="1:9" ht="13.8" thickBot="1" x14ac:dyDescent="0.3">
      <c r="A16" s="32" t="s">
        <v>53</v>
      </c>
      <c r="B16" s="33"/>
      <c r="C16" s="34">
        <f>SUM(C10:C15)</f>
        <v>237000</v>
      </c>
      <c r="D16" s="35">
        <f>SUM(D10:D15)</f>
        <v>1</v>
      </c>
      <c r="E16" s="34">
        <f>SUM(E10:E15)</f>
        <v>5413</v>
      </c>
      <c r="F16" s="34"/>
      <c r="G16" s="34">
        <f>SUM(G10:G15)</f>
        <v>231587</v>
      </c>
      <c r="H16" s="36">
        <f>SUM(H10:H15)</f>
        <v>6282.0738103756703</v>
      </c>
      <c r="I16" s="37">
        <f>SUM(I10:I15)</f>
        <v>64986.883124627311</v>
      </c>
    </row>
    <row r="17" spans="1:9" ht="14.4" thickTop="1" thickBot="1" x14ac:dyDescent="0.3"/>
    <row r="18" spans="1:9" ht="12.75" customHeight="1" x14ac:dyDescent="0.25">
      <c r="A18" s="90" t="s">
        <v>71</v>
      </c>
      <c r="B18" s="91"/>
      <c r="C18" s="91"/>
      <c r="D18" s="91"/>
      <c r="E18" s="91"/>
      <c r="F18" s="91"/>
      <c r="G18" s="91"/>
      <c r="H18" s="91"/>
      <c r="I18" s="92"/>
    </row>
    <row r="19" spans="1:9" ht="13.8" thickBot="1" x14ac:dyDescent="0.3">
      <c r="A19" s="93"/>
      <c r="B19" s="94"/>
      <c r="C19" s="94"/>
      <c r="D19" s="94"/>
      <c r="E19" s="94"/>
      <c r="F19" s="94"/>
      <c r="G19" s="94"/>
      <c r="H19" s="94"/>
      <c r="I19" s="95"/>
    </row>
    <row r="26" spans="1:9" x14ac:dyDescent="0.25">
      <c r="E26">
        <f>5199/12/4</f>
        <v>108.3125</v>
      </c>
    </row>
  </sheetData>
  <mergeCells count="3">
    <mergeCell ref="A2:F2"/>
    <mergeCell ref="A8:I8"/>
    <mergeCell ref="A18:I19"/>
  </mergeCells>
  <pageMargins left="0.2" right="0.23" top="1" bottom="0.52" header="0.5" footer="0.5"/>
  <pageSetup scale="76" orientation="landscape" r:id="rId1"/>
  <headerFooter alignWithMargins="0">
    <oddHeader xml:space="preserve">&amp;C&amp;"Arial,Bold"&amp;12Oakland Arms Condominium Association, Inc.
Reserves 2021
</oddHeader>
    <oddFooter>&amp;L&amp;T&amp;D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41030-F30B-42AE-8B32-9AF0FC5BCFA2}">
  <sheetPr>
    <tabColor rgb="FFFFFF00"/>
  </sheetPr>
  <dimension ref="A1:H57"/>
  <sheetViews>
    <sheetView view="pageBreakPreview" zoomScaleNormal="100" zoomScaleSheetLayoutView="100" workbookViewId="0">
      <selection activeCell="D5" sqref="D5"/>
    </sheetView>
  </sheetViews>
  <sheetFormatPr defaultColWidth="9.21875" defaultRowHeight="15" x14ac:dyDescent="0.25"/>
  <cols>
    <col min="1" max="1" width="39.5546875" style="2" customWidth="1"/>
    <col min="2" max="2" width="20.77734375" style="7" bestFit="1" customWidth="1"/>
    <col min="3" max="3" width="21.44140625" style="7" customWidth="1"/>
    <col min="4" max="4" width="20.77734375" style="2" customWidth="1"/>
    <col min="5" max="16384" width="9.21875" style="2"/>
  </cols>
  <sheetData>
    <row r="1" spans="1:7" ht="15" customHeight="1" x14ac:dyDescent="0.25">
      <c r="A1" s="96" t="s">
        <v>151</v>
      </c>
      <c r="B1" s="96"/>
      <c r="C1" s="96"/>
      <c r="D1" s="96"/>
    </row>
    <row r="2" spans="1:7" ht="15" customHeight="1" x14ac:dyDescent="0.25">
      <c r="A2" s="96"/>
      <c r="B2" s="96"/>
      <c r="C2" s="96"/>
      <c r="D2" s="96"/>
    </row>
    <row r="4" spans="1:7" ht="31.2" x14ac:dyDescent="0.3">
      <c r="B4" s="41" t="s">
        <v>87</v>
      </c>
      <c r="C4" s="41" t="s">
        <v>80</v>
      </c>
      <c r="D4" s="41" t="s">
        <v>87</v>
      </c>
    </row>
    <row r="5" spans="1:7" ht="15.6" x14ac:dyDescent="0.3">
      <c r="B5" s="46">
        <v>2022</v>
      </c>
      <c r="C5" s="46">
        <v>2022</v>
      </c>
      <c r="D5" s="46">
        <v>2023</v>
      </c>
    </row>
    <row r="6" spans="1:7" ht="15.6" x14ac:dyDescent="0.3">
      <c r="A6" s="1" t="s">
        <v>0</v>
      </c>
      <c r="D6" s="7"/>
    </row>
    <row r="7" spans="1:7" x14ac:dyDescent="0.25">
      <c r="A7" s="2" t="s">
        <v>57</v>
      </c>
      <c r="B7" s="7">
        <v>5500</v>
      </c>
      <c r="C7" s="7">
        <v>4800</v>
      </c>
      <c r="D7" s="7">
        <v>4800</v>
      </c>
    </row>
    <row r="8" spans="1:7" x14ac:dyDescent="0.25">
      <c r="A8" s="2" t="s">
        <v>21</v>
      </c>
      <c r="B8" s="7">
        <v>5</v>
      </c>
      <c r="C8" s="7">
        <v>5</v>
      </c>
      <c r="D8" s="7">
        <v>5</v>
      </c>
    </row>
    <row r="9" spans="1:7" x14ac:dyDescent="0.25">
      <c r="A9" s="2" t="s">
        <v>22</v>
      </c>
      <c r="B9" s="7">
        <v>50</v>
      </c>
      <c r="C9" s="7">
        <v>0</v>
      </c>
      <c r="D9" s="7">
        <v>0</v>
      </c>
    </row>
    <row r="10" spans="1:7" x14ac:dyDescent="0.25">
      <c r="A10" s="2" t="s">
        <v>23</v>
      </c>
      <c r="B10" s="7">
        <v>700</v>
      </c>
      <c r="C10" s="7">
        <v>900</v>
      </c>
      <c r="D10" s="7">
        <v>900</v>
      </c>
    </row>
    <row r="11" spans="1:7" x14ac:dyDescent="0.25">
      <c r="A11" s="2" t="s">
        <v>72</v>
      </c>
      <c r="B11" s="7">
        <v>67200</v>
      </c>
      <c r="C11" s="7">
        <v>67200</v>
      </c>
      <c r="D11" s="7">
        <f>D54-D7-D8-D10-D13</f>
        <v>86200</v>
      </c>
      <c r="G11" s="2">
        <f>1250*2*12</f>
        <v>30000</v>
      </c>
    </row>
    <row r="12" spans="1:7" x14ac:dyDescent="0.25">
      <c r="A12" s="2" t="s">
        <v>150</v>
      </c>
      <c r="B12" s="7">
        <v>0</v>
      </c>
      <c r="C12" s="7">
        <v>156000</v>
      </c>
      <c r="D12" s="7">
        <v>0</v>
      </c>
    </row>
    <row r="13" spans="1:7" ht="15.6" thickBot="1" x14ac:dyDescent="0.3">
      <c r="A13" s="2" t="s">
        <v>133</v>
      </c>
      <c r="B13" s="8">
        <v>4800</v>
      </c>
      <c r="C13" s="8">
        <v>4800</v>
      </c>
      <c r="D13" s="8">
        <v>4800</v>
      </c>
    </row>
    <row r="14" spans="1:7" s="1" customFormat="1" ht="15.6" x14ac:dyDescent="0.3">
      <c r="A14" s="1" t="s">
        <v>3</v>
      </c>
      <c r="B14" s="47">
        <v>78255</v>
      </c>
      <c r="C14" s="47">
        <f>SUM(C7:C13)</f>
        <v>233705</v>
      </c>
      <c r="D14" s="47">
        <f>SUM(D7:D13)</f>
        <v>96705</v>
      </c>
    </row>
    <row r="15" spans="1:7" ht="15.6" x14ac:dyDescent="0.3">
      <c r="A15" s="1" t="s">
        <v>4</v>
      </c>
      <c r="D15" s="7"/>
    </row>
    <row r="16" spans="1:7" ht="15.6" x14ac:dyDescent="0.3">
      <c r="A16" s="1" t="s">
        <v>5</v>
      </c>
      <c r="D16" s="7"/>
    </row>
    <row r="17" spans="1:6" x14ac:dyDescent="0.25">
      <c r="A17" s="2" t="s">
        <v>24</v>
      </c>
      <c r="B17" s="7">
        <v>2100</v>
      </c>
      <c r="C17" s="7">
        <v>2100</v>
      </c>
      <c r="D17" s="7">
        <v>2100</v>
      </c>
    </row>
    <row r="18" spans="1:6" x14ac:dyDescent="0.25">
      <c r="A18" s="2" t="s">
        <v>6</v>
      </c>
      <c r="B18" s="7">
        <v>100</v>
      </c>
      <c r="C18" s="7">
        <v>0</v>
      </c>
      <c r="D18" s="7">
        <v>43</v>
      </c>
    </row>
    <row r="19" spans="1:6" x14ac:dyDescent="0.25">
      <c r="A19" s="2" t="s">
        <v>89</v>
      </c>
      <c r="B19" s="7">
        <v>350</v>
      </c>
      <c r="C19" s="7">
        <v>0</v>
      </c>
      <c r="D19" s="7">
        <v>250</v>
      </c>
    </row>
    <row r="20" spans="1:6" x14ac:dyDescent="0.25">
      <c r="A20" s="2" t="s">
        <v>12</v>
      </c>
      <c r="B20" s="7">
        <v>250</v>
      </c>
      <c r="C20" s="7">
        <v>130</v>
      </c>
      <c r="D20" s="7">
        <v>150</v>
      </c>
    </row>
    <row r="21" spans="1:6" x14ac:dyDescent="0.25">
      <c r="A21" s="2" t="s">
        <v>7</v>
      </c>
      <c r="B21" s="7">
        <v>62</v>
      </c>
      <c r="C21" s="7">
        <v>61.25</v>
      </c>
      <c r="D21" s="7">
        <v>62</v>
      </c>
    </row>
    <row r="22" spans="1:6" ht="15.6" thickBot="1" x14ac:dyDescent="0.3">
      <c r="A22" s="2" t="s">
        <v>39</v>
      </c>
      <c r="B22" s="8">
        <v>3600</v>
      </c>
      <c r="C22" s="8">
        <v>3600</v>
      </c>
      <c r="D22" s="8">
        <v>3600</v>
      </c>
    </row>
    <row r="23" spans="1:6" s="1" customFormat="1" ht="15.6" x14ac:dyDescent="0.3">
      <c r="A23" s="1" t="s">
        <v>19</v>
      </c>
      <c r="B23" s="47">
        <v>6462</v>
      </c>
      <c r="C23" s="47">
        <f>SUM(C17:C22)</f>
        <v>5891.25</v>
      </c>
      <c r="D23" s="47">
        <f>SUM(D17:D22)</f>
        <v>6205</v>
      </c>
    </row>
    <row r="24" spans="1:6" x14ac:dyDescent="0.25">
      <c r="D24" s="7"/>
    </row>
    <row r="25" spans="1:6" s="1" customFormat="1" ht="15.6" x14ac:dyDescent="0.3">
      <c r="A25" s="1" t="s">
        <v>8</v>
      </c>
      <c r="B25" s="48">
        <v>28000</v>
      </c>
      <c r="C25" s="48">
        <v>35000</v>
      </c>
      <c r="D25" s="48">
        <v>49600</v>
      </c>
      <c r="F25" s="1" t="s">
        <v>139</v>
      </c>
    </row>
    <row r="26" spans="1:6" x14ac:dyDescent="0.25">
      <c r="B26" s="7" t="s">
        <v>40</v>
      </c>
      <c r="D26" s="7" t="s">
        <v>40</v>
      </c>
      <c r="F26" s="2" t="s">
        <v>135</v>
      </c>
    </row>
    <row r="27" spans="1:6" ht="15.6" x14ac:dyDescent="0.3">
      <c r="A27" s="1" t="s">
        <v>9</v>
      </c>
      <c r="D27" s="7"/>
      <c r="F27" s="2" t="s">
        <v>123</v>
      </c>
    </row>
    <row r="28" spans="1:6" x14ac:dyDescent="0.25">
      <c r="A28" s="2" t="s">
        <v>27</v>
      </c>
      <c r="B28" s="7">
        <v>0</v>
      </c>
      <c r="C28" s="7">
        <v>1500</v>
      </c>
      <c r="D28" s="7">
        <v>1500</v>
      </c>
      <c r="F28" s="2" t="s">
        <v>138</v>
      </c>
    </row>
    <row r="29" spans="1:6" x14ac:dyDescent="0.25">
      <c r="A29" s="2" t="s">
        <v>28</v>
      </c>
      <c r="B29" s="7">
        <v>5000</v>
      </c>
      <c r="C29" s="7">
        <v>10000</v>
      </c>
      <c r="D29" s="7">
        <v>3600</v>
      </c>
      <c r="F29" s="2" t="s">
        <v>137</v>
      </c>
    </row>
    <row r="30" spans="1:6" x14ac:dyDescent="0.25">
      <c r="A30" s="2" t="s">
        <v>30</v>
      </c>
      <c r="B30" s="7">
        <v>1243</v>
      </c>
      <c r="C30" s="7">
        <v>0</v>
      </c>
      <c r="D30" s="7">
        <v>1500</v>
      </c>
      <c r="F30" s="2" t="s">
        <v>136</v>
      </c>
    </row>
    <row r="31" spans="1:6" x14ac:dyDescent="0.25">
      <c r="A31" s="2" t="s">
        <v>31</v>
      </c>
      <c r="B31" s="7">
        <v>1200</v>
      </c>
      <c r="C31" s="7">
        <v>1000</v>
      </c>
      <c r="D31" s="7">
        <v>1200</v>
      </c>
      <c r="F31" s="2" t="s">
        <v>127</v>
      </c>
    </row>
    <row r="32" spans="1:6" x14ac:dyDescent="0.25">
      <c r="A32" s="2" t="s">
        <v>32</v>
      </c>
      <c r="B32" s="7">
        <v>900</v>
      </c>
      <c r="C32" s="7">
        <v>0</v>
      </c>
      <c r="D32" s="7">
        <v>900</v>
      </c>
    </row>
    <row r="33" spans="1:8" ht="15.6" x14ac:dyDescent="0.3">
      <c r="A33" s="2" t="s">
        <v>33</v>
      </c>
      <c r="B33" s="7">
        <v>100</v>
      </c>
      <c r="C33" s="7">
        <v>0</v>
      </c>
      <c r="D33" s="7">
        <v>100</v>
      </c>
      <c r="F33" s="49"/>
    </row>
    <row r="34" spans="1:8" ht="16.2" thickBot="1" x14ac:dyDescent="0.35">
      <c r="A34" s="2" t="s">
        <v>34</v>
      </c>
      <c r="B34" s="8">
        <v>1000</v>
      </c>
      <c r="C34" s="8">
        <v>1300</v>
      </c>
      <c r="D34" s="8">
        <v>0</v>
      </c>
      <c r="F34" s="49"/>
    </row>
    <row r="35" spans="1:8" s="1" customFormat="1" ht="15.6" x14ac:dyDescent="0.3">
      <c r="A35" s="1" t="s">
        <v>18</v>
      </c>
      <c r="B35" s="47">
        <v>9443</v>
      </c>
      <c r="C35" s="47">
        <f>SUM(C28:C34)</f>
        <v>13800</v>
      </c>
      <c r="D35" s="47">
        <f>SUM(D28:D34)</f>
        <v>8800</v>
      </c>
    </row>
    <row r="36" spans="1:8" x14ac:dyDescent="0.25">
      <c r="D36" s="7"/>
    </row>
    <row r="37" spans="1:8" ht="15.6" x14ac:dyDescent="0.3">
      <c r="A37" s="1" t="s">
        <v>35</v>
      </c>
      <c r="D37" s="7"/>
    </row>
    <row r="38" spans="1:8" x14ac:dyDescent="0.25">
      <c r="A38" s="2" t="s">
        <v>10</v>
      </c>
      <c r="B38" s="7">
        <v>2400</v>
      </c>
      <c r="C38" s="7">
        <f>200*12</f>
        <v>2400</v>
      </c>
      <c r="D38" s="7">
        <v>2400</v>
      </c>
    </row>
    <row r="39" spans="1:8" x14ac:dyDescent="0.25">
      <c r="A39" s="2" t="s">
        <v>36</v>
      </c>
      <c r="B39" s="7">
        <v>200</v>
      </c>
      <c r="C39" s="7">
        <v>0</v>
      </c>
      <c r="D39" s="7">
        <v>200</v>
      </c>
    </row>
    <row r="40" spans="1:8" x14ac:dyDescent="0.25">
      <c r="A40" s="2" t="s">
        <v>134</v>
      </c>
      <c r="B40" s="7">
        <v>1200</v>
      </c>
      <c r="C40" s="7">
        <v>0</v>
      </c>
      <c r="D40" s="7">
        <v>1000</v>
      </c>
    </row>
    <row r="41" spans="1:8" x14ac:dyDescent="0.25">
      <c r="A41" s="2" t="s">
        <v>120</v>
      </c>
      <c r="B41" s="7">
        <v>1200</v>
      </c>
      <c r="C41" s="7">
        <v>0</v>
      </c>
      <c r="D41" s="7">
        <v>1000</v>
      </c>
    </row>
    <row r="42" spans="1:8" x14ac:dyDescent="0.25">
      <c r="A42" s="2" t="s">
        <v>37</v>
      </c>
      <c r="B42" s="7">
        <v>2400</v>
      </c>
      <c r="C42" s="7">
        <v>2400</v>
      </c>
      <c r="D42" s="7">
        <v>2400</v>
      </c>
    </row>
    <row r="43" spans="1:8" x14ac:dyDescent="0.25">
      <c r="A43" s="2" t="s">
        <v>41</v>
      </c>
      <c r="B43" s="7">
        <v>2250</v>
      </c>
      <c r="C43" s="7">
        <v>2400</v>
      </c>
      <c r="D43" s="7">
        <v>2400</v>
      </c>
    </row>
    <row r="44" spans="1:8" ht="15.6" thickBot="1" x14ac:dyDescent="0.3">
      <c r="A44" s="2" t="s">
        <v>11</v>
      </c>
      <c r="B44" s="8">
        <v>500</v>
      </c>
      <c r="C44" s="8">
        <v>600</v>
      </c>
      <c r="D44" s="8">
        <v>500</v>
      </c>
    </row>
    <row r="45" spans="1:8" ht="15.6" x14ac:dyDescent="0.3">
      <c r="A45" s="1" t="s">
        <v>38</v>
      </c>
      <c r="B45" s="47">
        <v>10150</v>
      </c>
      <c r="C45" s="47">
        <f>SUM(C38:C44)</f>
        <v>7800</v>
      </c>
      <c r="D45" s="47">
        <f>SUM(D38:D44)</f>
        <v>9900</v>
      </c>
    </row>
    <row r="46" spans="1:8" x14ac:dyDescent="0.25">
      <c r="D46" s="7"/>
      <c r="H46" s="2">
        <f>1500*12*4</f>
        <v>72000</v>
      </c>
    </row>
    <row r="47" spans="1:8" ht="15.6" x14ac:dyDescent="0.3">
      <c r="A47" s="1" t="s">
        <v>13</v>
      </c>
      <c r="D47" s="7"/>
    </row>
    <row r="48" spans="1:8" x14ac:dyDescent="0.25">
      <c r="A48" s="2" t="s">
        <v>14</v>
      </c>
      <c r="B48" s="7">
        <v>9000</v>
      </c>
      <c r="C48" s="7">
        <v>8000</v>
      </c>
      <c r="D48" s="7">
        <v>8500</v>
      </c>
    </row>
    <row r="49" spans="1:6" x14ac:dyDescent="0.25">
      <c r="A49" s="2" t="s">
        <v>26</v>
      </c>
      <c r="B49" s="7">
        <v>500</v>
      </c>
      <c r="C49" s="7">
        <v>0</v>
      </c>
      <c r="D49" s="7">
        <v>500</v>
      </c>
    </row>
    <row r="50" spans="1:6" x14ac:dyDescent="0.25">
      <c r="A50" s="2" t="s">
        <v>25</v>
      </c>
      <c r="B50" s="7">
        <v>5700</v>
      </c>
      <c r="C50" s="7">
        <v>3600</v>
      </c>
      <c r="D50" s="7">
        <v>4200</v>
      </c>
    </row>
    <row r="51" spans="1:6" ht="15.6" thickBot="1" x14ac:dyDescent="0.3">
      <c r="A51" s="2" t="s">
        <v>15</v>
      </c>
      <c r="B51" s="8">
        <v>4200</v>
      </c>
      <c r="C51" s="8">
        <v>4000</v>
      </c>
      <c r="D51" s="8">
        <v>4200</v>
      </c>
    </row>
    <row r="52" spans="1:6" s="1" customFormat="1" ht="15.6" x14ac:dyDescent="0.3">
      <c r="A52" s="1" t="s">
        <v>16</v>
      </c>
      <c r="B52" s="47">
        <v>19400</v>
      </c>
      <c r="C52" s="47">
        <f>SUM(C48:C51)</f>
        <v>15600</v>
      </c>
      <c r="D52" s="47">
        <f>SUM(D48:D51)</f>
        <v>17400</v>
      </c>
    </row>
    <row r="53" spans="1:6" s="1" customFormat="1" ht="15.6" x14ac:dyDescent="0.3">
      <c r="A53" s="1" t="s">
        <v>133</v>
      </c>
      <c r="B53" s="47">
        <v>4800</v>
      </c>
      <c r="C53" s="47">
        <v>4800</v>
      </c>
      <c r="D53" s="47">
        <v>4800</v>
      </c>
    </row>
    <row r="54" spans="1:6" s="1" customFormat="1" ht="15.6" x14ac:dyDescent="0.3">
      <c r="A54" s="1" t="s">
        <v>17</v>
      </c>
      <c r="B54" s="47">
        <v>78255</v>
      </c>
      <c r="C54" s="47">
        <f t="shared" ref="C54" si="0">C53+C52+C45+C35+C25+C23</f>
        <v>82891.25</v>
      </c>
      <c r="D54" s="47">
        <f>D53+D52+D45+D35+D25+D23</f>
        <v>96705</v>
      </c>
    </row>
    <row r="55" spans="1:6" ht="15.6" thickBot="1" x14ac:dyDescent="0.3"/>
    <row r="56" spans="1:6" ht="16.2" thickBot="1" x14ac:dyDescent="0.35">
      <c r="A56" s="97" t="s">
        <v>152</v>
      </c>
      <c r="B56" s="98"/>
      <c r="C56" s="99"/>
      <c r="F56" s="2">
        <f>D11/4/12</f>
        <v>1795.8333333333333</v>
      </c>
    </row>
    <row r="57" spans="1:6" x14ac:dyDescent="0.25">
      <c r="A57" s="2" t="s">
        <v>40</v>
      </c>
    </row>
  </sheetData>
  <mergeCells count="2">
    <mergeCell ref="A1:D2"/>
    <mergeCell ref="A56:C56"/>
  </mergeCells>
  <pageMargins left="0.75" right="0.75" top="0.52" bottom="0.35" header="0.5" footer="0.5"/>
  <pageSetup scale="79" orientation="portrait" horizontalDpi="300" verticalDpi="300" r:id="rId1"/>
  <headerFooter alignWithMargins="0"/>
  <rowBreaks count="1" manualBreakCount="1">
    <brk id="57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6"/>
  <sheetViews>
    <sheetView topLeftCell="A52" zoomScaleNormal="100" workbookViewId="0">
      <selection activeCell="B29" sqref="B29"/>
    </sheetView>
  </sheetViews>
  <sheetFormatPr defaultColWidth="9.21875" defaultRowHeight="15" x14ac:dyDescent="0.25"/>
  <cols>
    <col min="1" max="1" width="39.5546875" style="2" bestFit="1" customWidth="1"/>
    <col min="2" max="2" width="35.44140625" style="7" bestFit="1" customWidth="1"/>
    <col min="3" max="3" width="27.77734375" style="7" customWidth="1"/>
    <col min="4" max="16384" width="9.21875" style="2"/>
  </cols>
  <sheetData>
    <row r="1" spans="1:4" x14ac:dyDescent="0.25">
      <c r="A1" s="87" t="s">
        <v>20</v>
      </c>
      <c r="B1" s="88"/>
      <c r="C1" s="88"/>
    </row>
    <row r="2" spans="1:4" x14ac:dyDescent="0.25">
      <c r="A2" s="88"/>
      <c r="B2" s="88"/>
      <c r="C2" s="88"/>
    </row>
    <row r="4" spans="1:4" ht="15.6" x14ac:dyDescent="0.3">
      <c r="B4" s="6" t="s">
        <v>58</v>
      </c>
      <c r="C4" s="6" t="s">
        <v>59</v>
      </c>
    </row>
    <row r="5" spans="1:4" ht="15.6" x14ac:dyDescent="0.3">
      <c r="B5" s="10">
        <v>2013</v>
      </c>
      <c r="C5" s="10">
        <v>2014</v>
      </c>
    </row>
    <row r="6" spans="1:4" ht="15.6" x14ac:dyDescent="0.3">
      <c r="A6" s="1" t="s">
        <v>0</v>
      </c>
    </row>
    <row r="7" spans="1:4" x14ac:dyDescent="0.25">
      <c r="A7" s="5" t="s">
        <v>57</v>
      </c>
      <c r="B7" s="7">
        <v>3969</v>
      </c>
      <c r="C7" s="7">
        <v>4000</v>
      </c>
    </row>
    <row r="8" spans="1:4" x14ac:dyDescent="0.25">
      <c r="A8" s="5" t="s">
        <v>21</v>
      </c>
      <c r="B8" s="7">
        <v>5.9</v>
      </c>
      <c r="C8" s="7">
        <v>10</v>
      </c>
    </row>
    <row r="9" spans="1:4" x14ac:dyDescent="0.25">
      <c r="A9" s="5" t="s">
        <v>22</v>
      </c>
      <c r="B9" s="7">
        <v>75</v>
      </c>
      <c r="C9" s="7">
        <v>50</v>
      </c>
    </row>
    <row r="10" spans="1:4" x14ac:dyDescent="0.25">
      <c r="A10" s="5" t="s">
        <v>23</v>
      </c>
      <c r="B10" s="7">
        <v>1130</v>
      </c>
      <c r="C10" s="7">
        <v>1200</v>
      </c>
    </row>
    <row r="11" spans="1:4" x14ac:dyDescent="0.25">
      <c r="A11" s="5" t="s">
        <v>72</v>
      </c>
      <c r="B11" s="7">
        <f>930*12*4</f>
        <v>44640</v>
      </c>
      <c r="C11" s="7">
        <v>48000</v>
      </c>
      <c r="D11" s="2" t="s">
        <v>73</v>
      </c>
    </row>
    <row r="12" spans="1:4" x14ac:dyDescent="0.25">
      <c r="A12" s="2" t="s">
        <v>1</v>
      </c>
      <c r="B12" s="7">
        <v>0</v>
      </c>
      <c r="C12" s="7">
        <v>0</v>
      </c>
    </row>
    <row r="13" spans="1:4" ht="15.6" thickBot="1" x14ac:dyDescent="0.3">
      <c r="A13" s="2" t="s">
        <v>2</v>
      </c>
      <c r="B13" s="8">
        <v>200</v>
      </c>
      <c r="C13" s="8">
        <v>0</v>
      </c>
    </row>
    <row r="14" spans="1:4" s="3" customFormat="1" ht="15.6" x14ac:dyDescent="0.3">
      <c r="A14" s="3" t="s">
        <v>3</v>
      </c>
      <c r="B14" s="38">
        <f>SUM(B7:B13)</f>
        <v>50019.9</v>
      </c>
      <c r="C14" s="38">
        <f>SUM(C7:C13)</f>
        <v>53260</v>
      </c>
    </row>
    <row r="16" spans="1:4" ht="15.6" x14ac:dyDescent="0.3">
      <c r="A16" s="1" t="s">
        <v>4</v>
      </c>
    </row>
    <row r="17" spans="1:3" ht="15.6" x14ac:dyDescent="0.3">
      <c r="A17" s="1" t="s">
        <v>5</v>
      </c>
    </row>
    <row r="18" spans="1:3" x14ac:dyDescent="0.25">
      <c r="A18" s="5" t="s">
        <v>24</v>
      </c>
      <c r="B18" s="7">
        <v>1930</v>
      </c>
      <c r="C18" s="7">
        <f>140*3+300</f>
        <v>720</v>
      </c>
    </row>
    <row r="19" spans="1:3" x14ac:dyDescent="0.25">
      <c r="A19" s="5" t="s">
        <v>6</v>
      </c>
      <c r="B19" s="7">
        <v>0</v>
      </c>
      <c r="C19" s="7">
        <v>0</v>
      </c>
    </row>
    <row r="20" spans="1:3" x14ac:dyDescent="0.25">
      <c r="A20" s="2" t="s">
        <v>12</v>
      </c>
      <c r="B20" s="7">
        <v>165</v>
      </c>
      <c r="C20" s="7">
        <v>250</v>
      </c>
    </row>
    <row r="21" spans="1:3" x14ac:dyDescent="0.25">
      <c r="A21" s="2" t="s">
        <v>7</v>
      </c>
      <c r="B21" s="7">
        <v>62</v>
      </c>
      <c r="C21" s="7">
        <v>120</v>
      </c>
    </row>
    <row r="22" spans="1:3" ht="15.6" thickBot="1" x14ac:dyDescent="0.3">
      <c r="A22" s="5" t="s">
        <v>39</v>
      </c>
      <c r="B22" s="8">
        <v>0</v>
      </c>
      <c r="C22" s="8">
        <v>3600</v>
      </c>
    </row>
    <row r="23" spans="1:3" s="3" customFormat="1" ht="15.6" x14ac:dyDescent="0.3">
      <c r="A23" s="3" t="s">
        <v>19</v>
      </c>
      <c r="B23" s="38">
        <f>SUM(B18:B22)</f>
        <v>2157</v>
      </c>
      <c r="C23" s="38">
        <f>SUM(C18:C22)</f>
        <v>4690</v>
      </c>
    </row>
    <row r="25" spans="1:3" s="3" customFormat="1" ht="15.6" x14ac:dyDescent="0.3">
      <c r="A25" s="3" t="s">
        <v>8</v>
      </c>
      <c r="B25" s="6">
        <f>2591+16347</f>
        <v>18938</v>
      </c>
      <c r="C25" s="6">
        <v>20000</v>
      </c>
    </row>
    <row r="27" spans="1:3" ht="15.6" x14ac:dyDescent="0.3">
      <c r="A27" s="1" t="s">
        <v>9</v>
      </c>
    </row>
    <row r="28" spans="1:3" x14ac:dyDescent="0.25">
      <c r="A28" s="5" t="s">
        <v>27</v>
      </c>
      <c r="B28" s="7">
        <v>745</v>
      </c>
      <c r="C28" s="7">
        <v>1232</v>
      </c>
    </row>
    <row r="29" spans="1:3" x14ac:dyDescent="0.25">
      <c r="A29" s="5" t="s">
        <v>28</v>
      </c>
      <c r="B29" s="7">
        <v>1970</v>
      </c>
      <c r="C29" s="7">
        <v>2500</v>
      </c>
    </row>
    <row r="30" spans="1:3" x14ac:dyDescent="0.25">
      <c r="A30" s="5" t="s">
        <v>29</v>
      </c>
      <c r="B30" s="7">
        <v>0</v>
      </c>
      <c r="C30" s="7">
        <v>0</v>
      </c>
    </row>
    <row r="31" spans="1:3" x14ac:dyDescent="0.25">
      <c r="A31" s="5" t="s">
        <v>30</v>
      </c>
      <c r="B31" s="7">
        <v>850</v>
      </c>
      <c r="C31" s="7">
        <v>850</v>
      </c>
    </row>
    <row r="32" spans="1:3" x14ac:dyDescent="0.25">
      <c r="A32" s="5" t="s">
        <v>31</v>
      </c>
      <c r="B32" s="7">
        <v>0</v>
      </c>
      <c r="C32" s="7">
        <v>200</v>
      </c>
    </row>
    <row r="33" spans="1:5" x14ac:dyDescent="0.25">
      <c r="A33" s="5" t="s">
        <v>32</v>
      </c>
      <c r="B33" s="7">
        <v>0</v>
      </c>
      <c r="C33" s="7">
        <v>50</v>
      </c>
    </row>
    <row r="34" spans="1:5" ht="15.6" x14ac:dyDescent="0.3">
      <c r="A34" s="5" t="s">
        <v>33</v>
      </c>
      <c r="B34" s="7">
        <v>1800</v>
      </c>
      <c r="C34" s="7">
        <v>100</v>
      </c>
      <c r="E34" s="4"/>
    </row>
    <row r="35" spans="1:5" ht="16.2" thickBot="1" x14ac:dyDescent="0.35">
      <c r="A35" s="5" t="s">
        <v>34</v>
      </c>
      <c r="B35" s="8">
        <v>0</v>
      </c>
      <c r="C35" s="8">
        <v>0</v>
      </c>
      <c r="E35" s="4"/>
    </row>
    <row r="36" spans="1:5" s="3" customFormat="1" ht="15.6" x14ac:dyDescent="0.3">
      <c r="A36" s="3" t="s">
        <v>18</v>
      </c>
      <c r="B36" s="38">
        <f>SUM(B28:B35)</f>
        <v>5365</v>
      </c>
      <c r="C36" s="38">
        <f>SUM(C28:C35)</f>
        <v>4932</v>
      </c>
    </row>
    <row r="38" spans="1:5" ht="15.6" x14ac:dyDescent="0.3">
      <c r="A38" s="3" t="s">
        <v>35</v>
      </c>
    </row>
    <row r="39" spans="1:5" x14ac:dyDescent="0.25">
      <c r="A39" s="5" t="s">
        <v>10</v>
      </c>
      <c r="B39" s="7">
        <v>3400</v>
      </c>
      <c r="C39" s="7">
        <v>3400</v>
      </c>
    </row>
    <row r="40" spans="1:5" x14ac:dyDescent="0.25">
      <c r="A40" s="5" t="s">
        <v>36</v>
      </c>
      <c r="B40" s="7">
        <v>0</v>
      </c>
      <c r="C40" s="7">
        <v>200</v>
      </c>
    </row>
    <row r="41" spans="1:5" x14ac:dyDescent="0.25">
      <c r="A41" s="5" t="s">
        <v>37</v>
      </c>
      <c r="B41" s="7">
        <v>1800</v>
      </c>
      <c r="C41" s="7">
        <v>1800</v>
      </c>
    </row>
    <row r="42" spans="1:5" x14ac:dyDescent="0.25">
      <c r="A42" s="5" t="s">
        <v>41</v>
      </c>
      <c r="B42" s="7">
        <v>2600</v>
      </c>
      <c r="C42" s="7">
        <v>1748</v>
      </c>
    </row>
    <row r="43" spans="1:5" ht="15.6" thickBot="1" x14ac:dyDescent="0.3">
      <c r="A43" s="5" t="s">
        <v>11</v>
      </c>
      <c r="B43" s="8">
        <v>0</v>
      </c>
      <c r="C43" s="8">
        <v>500</v>
      </c>
    </row>
    <row r="44" spans="1:5" ht="15.6" x14ac:dyDescent="0.3">
      <c r="A44" s="3" t="s">
        <v>38</v>
      </c>
      <c r="B44" s="38">
        <f>SUM(B39:B43)</f>
        <v>7800</v>
      </c>
      <c r="C44" s="38">
        <f>SUM(C39:C43)</f>
        <v>7648</v>
      </c>
    </row>
    <row r="46" spans="1:5" ht="15.6" x14ac:dyDescent="0.3">
      <c r="A46" s="1" t="s">
        <v>13</v>
      </c>
    </row>
    <row r="47" spans="1:5" x14ac:dyDescent="0.25">
      <c r="A47" s="2" t="s">
        <v>14</v>
      </c>
      <c r="B47" s="7">
        <v>5940</v>
      </c>
      <c r="C47" s="7">
        <v>6000</v>
      </c>
    </row>
    <row r="48" spans="1:5" x14ac:dyDescent="0.25">
      <c r="A48" s="5" t="s">
        <v>26</v>
      </c>
      <c r="B48" s="7">
        <v>2745</v>
      </c>
      <c r="C48" s="7">
        <v>2800</v>
      </c>
    </row>
    <row r="49" spans="1:3" x14ac:dyDescent="0.25">
      <c r="A49" s="5" t="s">
        <v>25</v>
      </c>
      <c r="B49" s="7">
        <v>5730</v>
      </c>
      <c r="C49" s="7">
        <v>5800</v>
      </c>
    </row>
    <row r="50" spans="1:3" ht="15.6" thickBot="1" x14ac:dyDescent="0.3">
      <c r="A50" s="2" t="s">
        <v>15</v>
      </c>
      <c r="B50" s="8">
        <v>1345</v>
      </c>
      <c r="C50" s="8">
        <v>1390</v>
      </c>
    </row>
    <row r="51" spans="1:3" s="3" customFormat="1" ht="15.6" x14ac:dyDescent="0.3">
      <c r="A51" s="3" t="s">
        <v>16</v>
      </c>
      <c r="B51" s="38">
        <f>SUM(B47:B50)</f>
        <v>15760</v>
      </c>
      <c r="C51" s="38">
        <f>SUM(C47:C50)</f>
        <v>15990</v>
      </c>
    </row>
    <row r="52" spans="1:3" ht="15.6" thickBot="1" x14ac:dyDescent="0.3">
      <c r="B52" s="9"/>
      <c r="C52" s="9"/>
    </row>
    <row r="53" spans="1:3" s="3" customFormat="1" ht="16.2" thickTop="1" x14ac:dyDescent="0.3">
      <c r="A53" s="3" t="s">
        <v>17</v>
      </c>
      <c r="B53" s="38">
        <f>SUM(B23+B25+B36+B44+B51)</f>
        <v>50020</v>
      </c>
      <c r="C53" s="38">
        <f>SUM(C23+C25+C36+C44+C51)</f>
        <v>53260</v>
      </c>
    </row>
    <row r="54" spans="1:3" ht="15.6" thickBot="1" x14ac:dyDescent="0.3"/>
    <row r="55" spans="1:3" ht="16.2" thickBot="1" x14ac:dyDescent="0.35">
      <c r="A55" s="84" t="s">
        <v>42</v>
      </c>
      <c r="B55" s="85"/>
      <c r="C55" s="86"/>
    </row>
    <row r="56" spans="1:3" x14ac:dyDescent="0.25">
      <c r="A56" s="5" t="s">
        <v>40</v>
      </c>
    </row>
  </sheetData>
  <mergeCells count="2">
    <mergeCell ref="A55:C55"/>
    <mergeCell ref="A1:C2"/>
  </mergeCells>
  <phoneticPr fontId="4" type="noConversion"/>
  <pageMargins left="0.75" right="0.75" top="0.52" bottom="0.35" header="0.5" footer="0.5"/>
  <pageSetup scale="80" orientation="portrait" r:id="rId1"/>
  <headerFooter alignWithMargins="0"/>
  <colBreaks count="1" manualBreakCount="1">
    <brk id="3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24542-0AA7-4026-81D8-9B413F84AFF9}">
  <sheetPr>
    <tabColor rgb="FFFFFF00"/>
  </sheetPr>
  <dimension ref="A1:I26"/>
  <sheetViews>
    <sheetView zoomScale="84" zoomScaleNormal="84" workbookViewId="0">
      <selection activeCell="E16" sqref="E16"/>
    </sheetView>
  </sheetViews>
  <sheetFormatPr defaultColWidth="8.77734375" defaultRowHeight="13.2" x14ac:dyDescent="0.25"/>
  <cols>
    <col min="1" max="1" width="23" customWidth="1"/>
    <col min="2" max="2" width="18.44140625" customWidth="1"/>
    <col min="3" max="3" width="26.21875" customWidth="1"/>
    <col min="4" max="4" width="19.44140625" customWidth="1"/>
    <col min="5" max="5" width="18.5546875" customWidth="1"/>
    <col min="6" max="6" width="15.21875" customWidth="1"/>
    <col min="7" max="7" width="10.77734375" bestFit="1" customWidth="1"/>
    <col min="8" max="8" width="12.44140625" customWidth="1"/>
    <col min="9" max="9" width="13.44140625" customWidth="1"/>
  </cols>
  <sheetData>
    <row r="1" spans="1:9" ht="13.8" thickBot="1" x14ac:dyDescent="0.3"/>
    <row r="2" spans="1:9" ht="37.5" customHeight="1" thickTop="1" thickBot="1" x14ac:dyDescent="0.35">
      <c r="A2" s="76" t="s">
        <v>43</v>
      </c>
      <c r="B2" s="77"/>
      <c r="C2" s="77"/>
      <c r="D2" s="77"/>
      <c r="E2" s="77"/>
      <c r="F2" s="78"/>
      <c r="G2" s="3"/>
    </row>
    <row r="3" spans="1:9" ht="78" x14ac:dyDescent="0.3">
      <c r="A3" s="21" t="s">
        <v>44</v>
      </c>
      <c r="B3" s="18" t="s">
        <v>70</v>
      </c>
      <c r="C3" s="18" t="s">
        <v>60</v>
      </c>
      <c r="D3" s="19" t="s">
        <v>45</v>
      </c>
      <c r="E3" s="18" t="s">
        <v>61</v>
      </c>
      <c r="F3" s="22" t="s">
        <v>46</v>
      </c>
    </row>
    <row r="4" spans="1:9" ht="15" x14ac:dyDescent="0.25">
      <c r="A4" s="23" t="s">
        <v>56</v>
      </c>
      <c r="B4" s="20">
        <v>1800</v>
      </c>
      <c r="C4" s="20">
        <f>SUM(I16/4/12)</f>
        <v>518.32544827964125</v>
      </c>
      <c r="D4" s="20">
        <f>SUM(B4+C4)</f>
        <v>2318.325448279641</v>
      </c>
      <c r="E4" s="20">
        <f>SUM(H16/4/12)</f>
        <v>99.670111643339524</v>
      </c>
      <c r="F4" s="24">
        <f>SUM(B4+E4)</f>
        <v>1899.6701116433396</v>
      </c>
    </row>
    <row r="5" spans="1:9" ht="16.2" thickBot="1" x14ac:dyDescent="0.35">
      <c r="A5" s="25" t="s">
        <v>47</v>
      </c>
      <c r="B5" s="26">
        <f>B4*12*4</f>
        <v>86400</v>
      </c>
      <c r="C5" s="26">
        <f>SUM(C4*12*4)</f>
        <v>24879.62151742278</v>
      </c>
      <c r="D5" s="26">
        <f>SUM(D4*12*4)</f>
        <v>111279.62151742277</v>
      </c>
      <c r="E5" s="26">
        <f>SUM(E4*12*4)</f>
        <v>4784.1653588802974</v>
      </c>
      <c r="F5" s="27">
        <f>SUM(F4*4*12)</f>
        <v>91184.165358880302</v>
      </c>
    </row>
    <row r="6" spans="1:9" ht="13.8" thickTop="1" x14ac:dyDescent="0.25"/>
    <row r="7" spans="1:9" ht="13.8" thickBot="1" x14ac:dyDescent="0.3"/>
    <row r="8" spans="1:9" ht="15.6" x14ac:dyDescent="0.3">
      <c r="A8" s="100" t="s">
        <v>147</v>
      </c>
      <c r="B8" s="101"/>
      <c r="C8" s="101"/>
      <c r="D8" s="101"/>
      <c r="E8" s="101"/>
      <c r="F8" s="101"/>
      <c r="G8" s="101"/>
      <c r="H8" s="101"/>
      <c r="I8" s="102"/>
    </row>
    <row r="9" spans="1:9" ht="69.75" customHeight="1" x14ac:dyDescent="0.25">
      <c r="A9" s="52" t="s">
        <v>51</v>
      </c>
      <c r="B9" s="15" t="s">
        <v>62</v>
      </c>
      <c r="C9" s="15" t="s">
        <v>63</v>
      </c>
      <c r="D9" s="16" t="s">
        <v>64</v>
      </c>
      <c r="E9" s="15" t="s">
        <v>148</v>
      </c>
      <c r="F9" s="15" t="s">
        <v>68</v>
      </c>
      <c r="G9" s="15" t="s">
        <v>65</v>
      </c>
      <c r="H9" s="17" t="s">
        <v>149</v>
      </c>
      <c r="I9" s="53" t="s">
        <v>131</v>
      </c>
    </row>
    <row r="10" spans="1:9" x14ac:dyDescent="0.25">
      <c r="A10" s="54" t="s">
        <v>29</v>
      </c>
      <c r="B10" s="12">
        <v>8</v>
      </c>
      <c r="C10" s="13">
        <v>15000</v>
      </c>
      <c r="D10" s="50">
        <v>1.4779235174579715E-2</v>
      </c>
      <c r="E10" s="13">
        <f>(E16*D10)</f>
        <v>228.91557361906521</v>
      </c>
      <c r="F10" s="12">
        <v>2</v>
      </c>
      <c r="G10" s="13">
        <f>SUM(C10-E10)</f>
        <v>14771.084426380934</v>
      </c>
      <c r="H10" s="14">
        <f>SUM(I10*0.11)</f>
        <v>812.40964345095142</v>
      </c>
      <c r="I10" s="55">
        <f>SUM(G10/F10)</f>
        <v>7385.542213190467</v>
      </c>
    </row>
    <row r="11" spans="1:9" x14ac:dyDescent="0.25">
      <c r="A11" s="54" t="s">
        <v>48</v>
      </c>
      <c r="B11" s="12">
        <v>20</v>
      </c>
      <c r="C11" s="13">
        <v>40000</v>
      </c>
      <c r="D11" s="50">
        <v>0.17735082209495659</v>
      </c>
      <c r="E11" s="13">
        <f>SUM(E16*D11)</f>
        <v>2746.9868834287827</v>
      </c>
      <c r="F11" s="12">
        <v>12</v>
      </c>
      <c r="G11" s="13">
        <f>SUM(C11-E11)</f>
        <v>37253.013116571216</v>
      </c>
      <c r="H11" s="14">
        <f>SUM(I11*0.11)</f>
        <v>341.48595356856947</v>
      </c>
      <c r="I11" s="55">
        <f>SUM(G11/F11)</f>
        <v>3104.417759714268</v>
      </c>
    </row>
    <row r="12" spans="1:9" x14ac:dyDescent="0.25">
      <c r="A12" s="54" t="s">
        <v>54</v>
      </c>
      <c r="B12" s="12">
        <v>8</v>
      </c>
      <c r="C12" s="13">
        <v>10000</v>
      </c>
      <c r="D12" s="50">
        <v>0.11084426380934786</v>
      </c>
      <c r="E12" s="13">
        <f>E16*D12</f>
        <v>1716.8668021429892</v>
      </c>
      <c r="F12" s="12">
        <v>3</v>
      </c>
      <c r="G12" s="13">
        <f t="shared" ref="G12:G15" si="0">SUM(C12-E12)</f>
        <v>8283.1331978570106</v>
      </c>
      <c r="H12" s="14">
        <f>SUM(I12*0.11)</f>
        <v>303.71488392142373</v>
      </c>
      <c r="I12" s="55">
        <f t="shared" ref="I12:I15" si="1">SUM(G12/F12)</f>
        <v>2761.0443992856704</v>
      </c>
    </row>
    <row r="13" spans="1:9" x14ac:dyDescent="0.25">
      <c r="A13" s="54" t="s">
        <v>55</v>
      </c>
      <c r="B13" s="12">
        <v>50</v>
      </c>
      <c r="C13" s="13">
        <v>60000</v>
      </c>
      <c r="D13" s="50">
        <v>0.10493256973951598</v>
      </c>
      <c r="E13" s="13">
        <f>E16*D13</f>
        <v>1625.3005726953629</v>
      </c>
      <c r="F13" s="12">
        <v>42</v>
      </c>
      <c r="G13" s="13">
        <f t="shared" si="0"/>
        <v>58374.699427304637</v>
      </c>
      <c r="H13" s="14">
        <f>SUM(I13*0.11)</f>
        <v>152.88611754770264</v>
      </c>
      <c r="I13" s="55">
        <f t="shared" si="1"/>
        <v>1389.8737958882057</v>
      </c>
    </row>
    <row r="14" spans="1:9" x14ac:dyDescent="0.25">
      <c r="A14" s="54" t="s">
        <v>49</v>
      </c>
      <c r="B14" s="12">
        <v>20</v>
      </c>
      <c r="C14" s="13">
        <v>130000</v>
      </c>
      <c r="D14" s="50">
        <v>0.33345649362645485</v>
      </c>
      <c r="E14" s="13">
        <f>E16*D14</f>
        <v>5164.9076297801594</v>
      </c>
      <c r="F14" s="12">
        <v>20</v>
      </c>
      <c r="G14" s="13">
        <f t="shared" si="0"/>
        <v>124835.09237021983</v>
      </c>
      <c r="H14" s="14">
        <v>2734</v>
      </c>
      <c r="I14" s="55">
        <f t="shared" si="1"/>
        <v>6241.7546185109913</v>
      </c>
    </row>
    <row r="15" spans="1:9" x14ac:dyDescent="0.25">
      <c r="A15" s="54" t="s">
        <v>52</v>
      </c>
      <c r="B15" s="12">
        <v>7</v>
      </c>
      <c r="C15" s="13">
        <v>12000</v>
      </c>
      <c r="D15" s="50">
        <v>0.258636615555145</v>
      </c>
      <c r="E15" s="13">
        <f>E16*D15</f>
        <v>4006.022538333641</v>
      </c>
      <c r="F15" s="12">
        <v>2</v>
      </c>
      <c r="G15" s="13">
        <f t="shared" si="0"/>
        <v>7993.977461666359</v>
      </c>
      <c r="H15" s="14">
        <f>SUM(I15*0.11)</f>
        <v>439.66876039164976</v>
      </c>
      <c r="I15" s="55">
        <f t="shared" si="1"/>
        <v>3996.9887308331795</v>
      </c>
    </row>
    <row r="16" spans="1:9" ht="14.4" thickBot="1" x14ac:dyDescent="0.3">
      <c r="A16" s="56" t="s">
        <v>53</v>
      </c>
      <c r="B16" s="57"/>
      <c r="C16" s="58">
        <f>SUM(C10:C15)</f>
        <v>267000</v>
      </c>
      <c r="D16" s="59">
        <f>SUM(D10:D15)</f>
        <v>1</v>
      </c>
      <c r="E16" s="51">
        <v>15489</v>
      </c>
      <c r="F16" s="58"/>
      <c r="G16" s="58">
        <f>SUM(G10:G15)</f>
        <v>251510.99999999997</v>
      </c>
      <c r="H16" s="60">
        <f>SUM(H10:H15)</f>
        <v>4784.1653588802974</v>
      </c>
      <c r="I16" s="61">
        <f>SUM(I10:I15)</f>
        <v>24879.62151742278</v>
      </c>
    </row>
    <row r="17" spans="1:9" ht="13.8" thickBot="1" x14ac:dyDescent="0.3"/>
    <row r="18" spans="1:9" ht="12.75" customHeight="1" x14ac:dyDescent="0.25">
      <c r="A18" s="90" t="s">
        <v>71</v>
      </c>
      <c r="B18" s="91"/>
      <c r="C18" s="91"/>
      <c r="D18" s="91"/>
      <c r="E18" s="91"/>
      <c r="F18" s="91"/>
      <c r="G18" s="91"/>
      <c r="H18" s="91"/>
      <c r="I18" s="92"/>
    </row>
    <row r="19" spans="1:9" ht="13.8" thickBot="1" x14ac:dyDescent="0.3">
      <c r="A19" s="93"/>
      <c r="B19" s="94"/>
      <c r="C19" s="94"/>
      <c r="D19" s="94"/>
      <c r="E19" s="94"/>
      <c r="F19" s="94"/>
      <c r="G19" s="94"/>
      <c r="H19" s="94"/>
      <c r="I19" s="95"/>
    </row>
    <row r="26" spans="1:9" x14ac:dyDescent="0.25">
      <c r="E26">
        <f>5199/12/4</f>
        <v>108.3125</v>
      </c>
    </row>
  </sheetData>
  <mergeCells count="3">
    <mergeCell ref="A2:F2"/>
    <mergeCell ref="A8:I8"/>
    <mergeCell ref="A18:I19"/>
  </mergeCells>
  <pageMargins left="0.2" right="0.23" top="1" bottom="0.52" header="0.5" footer="0.5"/>
  <pageSetup scale="76" orientation="landscape" horizontalDpi="300" verticalDpi="300" r:id="rId1"/>
  <headerFooter alignWithMargins="0">
    <oddHeader xml:space="preserve">&amp;C&amp;"Arial,Bold"&amp;12Oakland Arms Condominium Association, Inc.
Reserves 2021
</oddHeader>
    <oddFooter>&amp;L&amp;T&amp;D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AAC78-233D-4530-B382-B88C7ECDB79F}">
  <sheetPr>
    <tabColor rgb="FFFFFF00"/>
  </sheetPr>
  <dimension ref="A1:H57"/>
  <sheetViews>
    <sheetView tabSelected="1" view="pageBreakPreview" zoomScaleNormal="100" zoomScaleSheetLayoutView="100" workbookViewId="0">
      <selection sqref="A1:D2"/>
    </sheetView>
  </sheetViews>
  <sheetFormatPr defaultColWidth="9.21875" defaultRowHeight="15" x14ac:dyDescent="0.25"/>
  <cols>
    <col min="1" max="1" width="39.5546875" style="2" customWidth="1"/>
    <col min="2" max="2" width="20.77734375" style="7" bestFit="1" customWidth="1"/>
    <col min="3" max="3" width="21.44140625" style="7" customWidth="1"/>
    <col min="4" max="4" width="20.77734375" style="2" customWidth="1"/>
    <col min="5" max="16384" width="9.21875" style="2"/>
  </cols>
  <sheetData>
    <row r="1" spans="1:7" ht="15" customHeight="1" x14ac:dyDescent="0.25">
      <c r="A1" s="96" t="s">
        <v>158</v>
      </c>
      <c r="B1" s="96"/>
      <c r="C1" s="96"/>
      <c r="D1" s="96"/>
    </row>
    <row r="2" spans="1:7" ht="15" customHeight="1" x14ac:dyDescent="0.25">
      <c r="A2" s="96"/>
      <c r="B2" s="96"/>
      <c r="C2" s="96"/>
      <c r="D2" s="96"/>
    </row>
    <row r="4" spans="1:7" ht="31.2" x14ac:dyDescent="0.3">
      <c r="B4" s="41" t="s">
        <v>87</v>
      </c>
      <c r="C4" s="41" t="s">
        <v>80</v>
      </c>
      <c r="D4" s="41" t="s">
        <v>160</v>
      </c>
    </row>
    <row r="5" spans="1:7" ht="15.6" x14ac:dyDescent="0.3">
      <c r="B5" s="46">
        <v>2023</v>
      </c>
      <c r="C5" s="46">
        <v>2023</v>
      </c>
      <c r="D5" s="46">
        <v>2024</v>
      </c>
    </row>
    <row r="6" spans="1:7" ht="15.6" x14ac:dyDescent="0.3">
      <c r="A6" s="1" t="s">
        <v>0</v>
      </c>
      <c r="D6" s="7"/>
    </row>
    <row r="7" spans="1:7" x14ac:dyDescent="0.25">
      <c r="A7" s="2" t="s">
        <v>57</v>
      </c>
      <c r="B7" s="7">
        <v>4800</v>
      </c>
      <c r="C7" s="7">
        <v>2317.5</v>
      </c>
      <c r="D7" s="7">
        <v>4800</v>
      </c>
    </row>
    <row r="8" spans="1:7" x14ac:dyDescent="0.25">
      <c r="A8" s="2" t="s">
        <v>21</v>
      </c>
      <c r="B8" s="7">
        <v>5</v>
      </c>
      <c r="C8" s="7">
        <v>2.88</v>
      </c>
      <c r="D8" s="7">
        <v>5</v>
      </c>
    </row>
    <row r="9" spans="1:7" x14ac:dyDescent="0.25">
      <c r="A9" s="2" t="s">
        <v>22</v>
      </c>
      <c r="B9" s="7">
        <v>0</v>
      </c>
      <c r="C9" s="7">
        <v>50</v>
      </c>
      <c r="D9" s="7">
        <v>0</v>
      </c>
    </row>
    <row r="10" spans="1:7" x14ac:dyDescent="0.25">
      <c r="A10" s="2" t="s">
        <v>23</v>
      </c>
      <c r="B10" s="7">
        <v>900</v>
      </c>
      <c r="C10" s="7">
        <v>1519.12</v>
      </c>
      <c r="D10" s="7">
        <v>900</v>
      </c>
    </row>
    <row r="11" spans="1:7" ht="15.6" x14ac:dyDescent="0.3">
      <c r="A11" s="2" t="s">
        <v>72</v>
      </c>
      <c r="B11" s="7">
        <f>B54-B7-B8-B10-B13</f>
        <v>86200</v>
      </c>
      <c r="C11" s="48">
        <v>85200</v>
      </c>
      <c r="D11" s="48">
        <f>D54-D7-D8-D10-D13</f>
        <v>96550</v>
      </c>
      <c r="G11" s="2">
        <f>1250*2*12</f>
        <v>30000</v>
      </c>
    </row>
    <row r="12" spans="1:7" ht="15.6" x14ac:dyDescent="0.3">
      <c r="A12" s="2" t="s">
        <v>150</v>
      </c>
      <c r="B12" s="7">
        <v>0</v>
      </c>
      <c r="C12" s="48">
        <v>25</v>
      </c>
      <c r="D12" s="7">
        <v>0</v>
      </c>
    </row>
    <row r="13" spans="1:7" ht="15.6" thickBot="1" x14ac:dyDescent="0.3">
      <c r="A13" s="2" t="s">
        <v>133</v>
      </c>
      <c r="B13" s="8">
        <v>4800</v>
      </c>
      <c r="C13" s="8">
        <v>1200</v>
      </c>
      <c r="D13" s="8">
        <v>4800</v>
      </c>
    </row>
    <row r="14" spans="1:7" s="1" customFormat="1" ht="15.6" x14ac:dyDescent="0.3">
      <c r="A14" s="1" t="s">
        <v>3</v>
      </c>
      <c r="B14" s="47">
        <f>SUM(B7:B13)</f>
        <v>96705</v>
      </c>
      <c r="C14" s="47">
        <f>SUM(C7:C13)</f>
        <v>90314.5</v>
      </c>
      <c r="D14" s="47">
        <f>SUM(D7:D13)</f>
        <v>107055</v>
      </c>
    </row>
    <row r="15" spans="1:7" ht="15.6" x14ac:dyDescent="0.3">
      <c r="A15" s="1" t="s">
        <v>4</v>
      </c>
      <c r="D15" s="7"/>
    </row>
    <row r="16" spans="1:7" ht="15.6" x14ac:dyDescent="0.3">
      <c r="A16" s="1" t="s">
        <v>5</v>
      </c>
      <c r="D16" s="7"/>
    </row>
    <row r="17" spans="1:7" ht="15.6" x14ac:dyDescent="0.3">
      <c r="A17" s="2" t="s">
        <v>24</v>
      </c>
      <c r="B17" s="7">
        <v>2100</v>
      </c>
      <c r="C17" s="48">
        <v>2270.96</v>
      </c>
      <c r="D17" s="48">
        <v>2300</v>
      </c>
    </row>
    <row r="18" spans="1:7" ht="15.6" x14ac:dyDescent="0.3">
      <c r="A18" s="2" t="s">
        <v>6</v>
      </c>
      <c r="B18" s="7">
        <v>43</v>
      </c>
      <c r="C18" s="48">
        <v>17</v>
      </c>
      <c r="D18" s="7">
        <v>43</v>
      </c>
    </row>
    <row r="19" spans="1:7" x14ac:dyDescent="0.25">
      <c r="A19" s="2" t="s">
        <v>89</v>
      </c>
      <c r="B19" s="7">
        <v>250</v>
      </c>
      <c r="C19" s="7">
        <v>0</v>
      </c>
      <c r="D19" s="7">
        <v>250</v>
      </c>
    </row>
    <row r="20" spans="1:7" ht="15.6" x14ac:dyDescent="0.3">
      <c r="A20" s="2" t="s">
        <v>12</v>
      </c>
      <c r="B20" s="7">
        <v>150</v>
      </c>
      <c r="C20" s="7">
        <v>398.32</v>
      </c>
      <c r="D20" s="48">
        <v>400</v>
      </c>
    </row>
    <row r="21" spans="1:7" x14ac:dyDescent="0.25">
      <c r="A21" s="2" t="s">
        <v>7</v>
      </c>
      <c r="B21" s="7">
        <v>62</v>
      </c>
      <c r="C21" s="7">
        <v>61.25</v>
      </c>
      <c r="D21" s="7">
        <v>62</v>
      </c>
    </row>
    <row r="22" spans="1:7" ht="15.6" thickBot="1" x14ac:dyDescent="0.3">
      <c r="A22" s="2" t="s">
        <v>39</v>
      </c>
      <c r="B22" s="8">
        <v>3600</v>
      </c>
      <c r="C22" s="8">
        <v>3600</v>
      </c>
      <c r="D22" s="8">
        <v>3600</v>
      </c>
    </row>
    <row r="23" spans="1:7" s="1" customFormat="1" ht="15.6" x14ac:dyDescent="0.3">
      <c r="A23" s="1" t="s">
        <v>19</v>
      </c>
      <c r="B23" s="47">
        <f>SUM(B17:B22)</f>
        <v>6205</v>
      </c>
      <c r="C23" s="47">
        <f>SUM(C17:C22)</f>
        <v>6347.5300000000007</v>
      </c>
      <c r="D23" s="47">
        <f>SUM(D17:D22)</f>
        <v>6655</v>
      </c>
    </row>
    <row r="24" spans="1:7" x14ac:dyDescent="0.25">
      <c r="D24" s="7"/>
    </row>
    <row r="25" spans="1:7" s="1" customFormat="1" ht="15.6" x14ac:dyDescent="0.3">
      <c r="A25" s="1" t="s">
        <v>8</v>
      </c>
      <c r="B25" s="48">
        <v>49600</v>
      </c>
      <c r="C25" s="48">
        <v>47642.53</v>
      </c>
      <c r="D25" s="48">
        <v>58000</v>
      </c>
      <c r="F25" s="1" t="s">
        <v>139</v>
      </c>
    </row>
    <row r="26" spans="1:7" x14ac:dyDescent="0.25">
      <c r="B26" s="7" t="s">
        <v>40</v>
      </c>
      <c r="D26" s="7" t="s">
        <v>40</v>
      </c>
      <c r="F26" s="2" t="s">
        <v>135</v>
      </c>
      <c r="G26" s="2">
        <v>5600</v>
      </c>
    </row>
    <row r="27" spans="1:7" ht="15.6" x14ac:dyDescent="0.3">
      <c r="A27" s="1" t="s">
        <v>9</v>
      </c>
      <c r="D27" s="7"/>
      <c r="F27" s="2" t="s">
        <v>123</v>
      </c>
    </row>
    <row r="28" spans="1:7" ht="15.6" x14ac:dyDescent="0.3">
      <c r="A28" s="2" t="s">
        <v>27</v>
      </c>
      <c r="B28" s="7">
        <v>1500</v>
      </c>
      <c r="C28" s="48">
        <v>2243.42</v>
      </c>
      <c r="D28" s="48">
        <v>2800</v>
      </c>
      <c r="F28" s="2" t="s">
        <v>138</v>
      </c>
    </row>
    <row r="29" spans="1:7" ht="15.6" x14ac:dyDescent="0.3">
      <c r="A29" s="2" t="s">
        <v>28</v>
      </c>
      <c r="B29" s="7">
        <v>3600</v>
      </c>
      <c r="C29" s="48">
        <v>386.38</v>
      </c>
      <c r="D29" s="48">
        <v>2000</v>
      </c>
      <c r="F29" s="2" t="s">
        <v>137</v>
      </c>
    </row>
    <row r="30" spans="1:7" ht="15.6" x14ac:dyDescent="0.3">
      <c r="A30" s="2" t="s">
        <v>30</v>
      </c>
      <c r="B30" s="7">
        <v>1500</v>
      </c>
      <c r="C30" s="48">
        <v>2433</v>
      </c>
      <c r="D30" s="7">
        <v>1500</v>
      </c>
      <c r="F30" s="2" t="s">
        <v>136</v>
      </c>
    </row>
    <row r="31" spans="1:7" ht="15.6" x14ac:dyDescent="0.3">
      <c r="A31" s="2" t="s">
        <v>31</v>
      </c>
      <c r="B31" s="7">
        <v>1200</v>
      </c>
      <c r="C31" s="48">
        <v>1528.43</v>
      </c>
      <c r="D31" s="7">
        <v>1200</v>
      </c>
      <c r="F31" s="2" t="s">
        <v>127</v>
      </c>
    </row>
    <row r="32" spans="1:7" ht="15.6" x14ac:dyDescent="0.3">
      <c r="A32" s="2" t="s">
        <v>32</v>
      </c>
      <c r="B32" s="7">
        <v>900</v>
      </c>
      <c r="C32" s="7">
        <v>0</v>
      </c>
      <c r="D32" s="48">
        <v>0</v>
      </c>
    </row>
    <row r="33" spans="1:8" ht="15.6" x14ac:dyDescent="0.3">
      <c r="A33" s="2" t="s">
        <v>33</v>
      </c>
      <c r="B33" s="7">
        <v>100</v>
      </c>
      <c r="C33" s="7">
        <v>0</v>
      </c>
      <c r="D33" s="7">
        <v>100</v>
      </c>
      <c r="F33" s="49"/>
    </row>
    <row r="34" spans="1:8" ht="16.2" thickBot="1" x14ac:dyDescent="0.35">
      <c r="A34" s="2" t="s">
        <v>34</v>
      </c>
      <c r="B34" s="8">
        <v>0</v>
      </c>
      <c r="C34" s="8">
        <v>0</v>
      </c>
      <c r="D34" s="8">
        <v>0</v>
      </c>
      <c r="F34" s="49"/>
    </row>
    <row r="35" spans="1:8" s="1" customFormat="1" ht="15.6" x14ac:dyDescent="0.3">
      <c r="A35" s="1" t="s">
        <v>18</v>
      </c>
      <c r="B35" s="47">
        <f>SUM(B28:B34)</f>
        <v>8800</v>
      </c>
      <c r="C35" s="47">
        <f>SUM(C28:C34)</f>
        <v>6591.2300000000005</v>
      </c>
      <c r="D35" s="47">
        <f>SUM(D28:D34)</f>
        <v>7600</v>
      </c>
    </row>
    <row r="36" spans="1:8" x14ac:dyDescent="0.25">
      <c r="D36" s="7"/>
    </row>
    <row r="37" spans="1:8" ht="15.6" x14ac:dyDescent="0.3">
      <c r="A37" s="1" t="s">
        <v>35</v>
      </c>
      <c r="D37" s="7"/>
    </row>
    <row r="38" spans="1:8" ht="15.6" x14ac:dyDescent="0.3">
      <c r="A38" s="2" t="s">
        <v>10</v>
      </c>
      <c r="B38" s="7">
        <v>2400</v>
      </c>
      <c r="C38" s="48">
        <v>6855.51</v>
      </c>
      <c r="D38" s="48">
        <v>6700</v>
      </c>
    </row>
    <row r="39" spans="1:8" ht="15.6" x14ac:dyDescent="0.3">
      <c r="A39" s="2" t="s">
        <v>36</v>
      </c>
      <c r="B39" s="7">
        <v>200</v>
      </c>
      <c r="C39" s="48">
        <v>100</v>
      </c>
      <c r="D39" s="7">
        <v>200</v>
      </c>
    </row>
    <row r="40" spans="1:8" ht="15.6" x14ac:dyDescent="0.3">
      <c r="A40" s="2" t="s">
        <v>134</v>
      </c>
      <c r="B40" s="7">
        <v>1000</v>
      </c>
      <c r="C40" s="48">
        <v>5820</v>
      </c>
      <c r="D40" s="48">
        <v>4000</v>
      </c>
    </row>
    <row r="41" spans="1:8" ht="15.6" x14ac:dyDescent="0.3">
      <c r="A41" s="2" t="s">
        <v>120</v>
      </c>
      <c r="B41" s="7">
        <v>1000</v>
      </c>
      <c r="C41" s="48">
        <v>439.04399999999998</v>
      </c>
      <c r="D41" s="48">
        <v>500</v>
      </c>
    </row>
    <row r="42" spans="1:8" ht="15.6" x14ac:dyDescent="0.3">
      <c r="A42" s="2" t="s">
        <v>37</v>
      </c>
      <c r="B42" s="7">
        <v>2400</v>
      </c>
      <c r="C42" s="48">
        <v>2285.44</v>
      </c>
      <c r="D42" s="7">
        <v>2400</v>
      </c>
    </row>
    <row r="43" spans="1:8" ht="15.6" x14ac:dyDescent="0.3">
      <c r="A43" s="2" t="s">
        <v>41</v>
      </c>
      <c r="B43" s="7">
        <v>2400</v>
      </c>
      <c r="C43" s="48">
        <v>1400</v>
      </c>
      <c r="D43" s="48">
        <v>1500</v>
      </c>
    </row>
    <row r="44" spans="1:8" ht="16.2" thickBot="1" x14ac:dyDescent="0.35">
      <c r="A44" s="2" t="s">
        <v>11</v>
      </c>
      <c r="B44" s="8">
        <v>500</v>
      </c>
      <c r="C44" s="74">
        <v>11543.7</v>
      </c>
      <c r="D44" s="74">
        <v>1500</v>
      </c>
    </row>
    <row r="45" spans="1:8" ht="15.6" x14ac:dyDescent="0.3">
      <c r="A45" s="1" t="s">
        <v>38</v>
      </c>
      <c r="B45" s="47">
        <f>SUM(B38:B44)</f>
        <v>9900</v>
      </c>
      <c r="C45" s="47">
        <f>SUM(C38:C44)</f>
        <v>28443.694</v>
      </c>
      <c r="D45" s="47">
        <f>SUM(D38:D44)</f>
        <v>16800</v>
      </c>
    </row>
    <row r="46" spans="1:8" x14ac:dyDescent="0.25">
      <c r="D46" s="7"/>
      <c r="H46" s="2">
        <f>1500*12*4</f>
        <v>72000</v>
      </c>
    </row>
    <row r="47" spans="1:8" ht="15.6" x14ac:dyDescent="0.3">
      <c r="A47" s="1" t="s">
        <v>13</v>
      </c>
      <c r="D47" s="7"/>
    </row>
    <row r="48" spans="1:8" ht="15.6" x14ac:dyDescent="0.3">
      <c r="A48" s="2" t="s">
        <v>14</v>
      </c>
      <c r="B48" s="7">
        <v>8500</v>
      </c>
      <c r="C48" s="48">
        <v>7994.1</v>
      </c>
      <c r="D48" s="7">
        <v>8500</v>
      </c>
    </row>
    <row r="49" spans="1:7" ht="15.6" x14ac:dyDescent="0.3">
      <c r="A49" s="2" t="s">
        <v>26</v>
      </c>
      <c r="B49" s="7">
        <v>500</v>
      </c>
      <c r="C49" s="48">
        <v>0</v>
      </c>
      <c r="D49" s="7">
        <v>500</v>
      </c>
    </row>
    <row r="50" spans="1:7" ht="15.6" x14ac:dyDescent="0.3">
      <c r="A50" s="2" t="s">
        <v>25</v>
      </c>
      <c r="B50" s="7">
        <v>4200</v>
      </c>
      <c r="C50" s="48">
        <v>4741.96</v>
      </c>
      <c r="D50" s="48">
        <v>4800</v>
      </c>
    </row>
    <row r="51" spans="1:7" ht="16.2" thickBot="1" x14ac:dyDescent="0.35">
      <c r="A51" s="2" t="s">
        <v>15</v>
      </c>
      <c r="B51" s="8">
        <v>4200</v>
      </c>
      <c r="C51" s="74">
        <v>2636.37</v>
      </c>
      <c r="D51" s="74">
        <v>3000</v>
      </c>
    </row>
    <row r="52" spans="1:7" s="1" customFormat="1" ht="15.6" x14ac:dyDescent="0.3">
      <c r="A52" s="1" t="s">
        <v>16</v>
      </c>
      <c r="B52" s="47">
        <f>SUM(B48:B51)</f>
        <v>17400</v>
      </c>
      <c r="C52" s="47">
        <f>SUM(C48:C51)</f>
        <v>15372.43</v>
      </c>
      <c r="D52" s="47">
        <f>SUM(D48:D51)</f>
        <v>16800</v>
      </c>
    </row>
    <row r="53" spans="1:7" s="1" customFormat="1" ht="15.6" x14ac:dyDescent="0.3">
      <c r="A53" s="1" t="s">
        <v>133</v>
      </c>
      <c r="B53" s="47">
        <v>4800</v>
      </c>
      <c r="C53" s="47">
        <v>1200</v>
      </c>
      <c r="D53" s="47">
        <v>1200</v>
      </c>
      <c r="G53" s="1">
        <f>110105/12/4</f>
        <v>2293.8541666666665</v>
      </c>
    </row>
    <row r="54" spans="1:7" s="1" customFormat="1" ht="15.6" x14ac:dyDescent="0.3">
      <c r="A54" s="1" t="s">
        <v>17</v>
      </c>
      <c r="B54" s="47">
        <f>B53+B52+B45+B35+B25+B23</f>
        <v>96705</v>
      </c>
      <c r="C54" s="47">
        <f t="shared" ref="C54" si="0">C53+C52+C45+C35+C25+C23</f>
        <v>105597.41399999999</v>
      </c>
      <c r="D54" s="47">
        <f>D53+D52+D45+D35+D25+D23</f>
        <v>107055</v>
      </c>
    </row>
    <row r="55" spans="1:7" ht="15.6" thickBot="1" x14ac:dyDescent="0.3"/>
    <row r="56" spans="1:7" ht="47.55" customHeight="1" thickBot="1" x14ac:dyDescent="0.35">
      <c r="A56" s="103" t="s">
        <v>159</v>
      </c>
      <c r="B56" s="104"/>
      <c r="C56" s="105"/>
      <c r="F56" s="2">
        <f>D11/4/12</f>
        <v>2011.4583333333333</v>
      </c>
    </row>
    <row r="57" spans="1:7" x14ac:dyDescent="0.25">
      <c r="A57" s="2" t="s">
        <v>40</v>
      </c>
    </row>
  </sheetData>
  <mergeCells count="2">
    <mergeCell ref="A1:D2"/>
    <mergeCell ref="A56:C56"/>
  </mergeCells>
  <pageMargins left="0.75" right="0.75" top="0.52" bottom="0.35" header="0.5" footer="0.5"/>
  <pageSetup scale="79" orientation="portrait" horizontalDpi="300" verticalDpi="300" r:id="rId1"/>
  <headerFooter alignWithMargins="0"/>
  <rowBreaks count="1" manualBreakCount="1">
    <brk id="57" max="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E6DC7-F5B9-48C5-9278-413377490F30}">
  <sheetPr>
    <tabColor rgb="FFFFFF00"/>
  </sheetPr>
  <dimension ref="A1:I26"/>
  <sheetViews>
    <sheetView zoomScale="84" zoomScaleNormal="84" workbookViewId="0">
      <selection activeCell="E10" sqref="E10:E14"/>
    </sheetView>
  </sheetViews>
  <sheetFormatPr defaultColWidth="8.77734375" defaultRowHeight="13.2" x14ac:dyDescent="0.25"/>
  <cols>
    <col min="1" max="1" width="23" customWidth="1"/>
    <col min="2" max="2" width="18.44140625" customWidth="1"/>
    <col min="3" max="3" width="26.21875" customWidth="1"/>
    <col min="4" max="4" width="19.44140625" customWidth="1"/>
    <col min="5" max="5" width="18.5546875" customWidth="1"/>
    <col min="6" max="6" width="15.21875" customWidth="1"/>
    <col min="7" max="7" width="10.77734375" bestFit="1" customWidth="1"/>
    <col min="8" max="8" width="12.44140625" customWidth="1"/>
    <col min="9" max="9" width="13.44140625" customWidth="1"/>
  </cols>
  <sheetData>
    <row r="1" spans="1:9" ht="13.8" thickBot="1" x14ac:dyDescent="0.3"/>
    <row r="2" spans="1:9" ht="37.5" customHeight="1" thickTop="1" thickBot="1" x14ac:dyDescent="0.35">
      <c r="A2" s="76" t="s">
        <v>43</v>
      </c>
      <c r="B2" s="77"/>
      <c r="C2" s="77"/>
      <c r="D2" s="77"/>
      <c r="E2" s="77"/>
      <c r="F2" s="78"/>
      <c r="G2" s="3"/>
    </row>
    <row r="3" spans="1:9" ht="78" x14ac:dyDescent="0.3">
      <c r="A3" s="21" t="s">
        <v>44</v>
      </c>
      <c r="B3" s="18" t="s">
        <v>70</v>
      </c>
      <c r="C3" s="18" t="s">
        <v>60</v>
      </c>
      <c r="D3" s="19" t="s">
        <v>45</v>
      </c>
      <c r="E3" s="18" t="s">
        <v>61</v>
      </c>
      <c r="F3" s="22" t="s">
        <v>46</v>
      </c>
    </row>
    <row r="4" spans="1:9" ht="15" x14ac:dyDescent="0.25">
      <c r="A4" s="23" t="s">
        <v>56</v>
      </c>
      <c r="B4" s="20">
        <v>2300</v>
      </c>
      <c r="C4" s="20">
        <f>SUM(I16/4/12)</f>
        <v>592.48836937778276</v>
      </c>
      <c r="D4" s="20">
        <f>SUM(B4+C4)</f>
        <v>2892.4883693777829</v>
      </c>
      <c r="E4" s="20">
        <f>SUM(H16/4/12)</f>
        <v>102.83380835085437</v>
      </c>
      <c r="F4" s="24">
        <f>SUM(B4+E4)</f>
        <v>2402.8338083508543</v>
      </c>
    </row>
    <row r="5" spans="1:9" ht="16.2" thickBot="1" x14ac:dyDescent="0.35">
      <c r="A5" s="25" t="s">
        <v>47</v>
      </c>
      <c r="B5" s="26">
        <f>B4*12*4</f>
        <v>110400</v>
      </c>
      <c r="C5" s="26">
        <f>SUM(C4*12*4)</f>
        <v>28439.441730133571</v>
      </c>
      <c r="D5" s="26">
        <f>SUM(D4*12*4)</f>
        <v>138839.44173013358</v>
      </c>
      <c r="E5" s="26">
        <f>SUM(E4*12*4)</f>
        <v>4936.0228008410095</v>
      </c>
      <c r="F5" s="27">
        <f>SUM(F4*4*12)</f>
        <v>115336.022800841</v>
      </c>
    </row>
    <row r="6" spans="1:9" ht="13.8" thickTop="1" x14ac:dyDescent="0.25"/>
    <row r="7" spans="1:9" ht="13.8" thickBot="1" x14ac:dyDescent="0.3"/>
    <row r="8" spans="1:9" ht="15.6" x14ac:dyDescent="0.3">
      <c r="A8" s="100" t="s">
        <v>153</v>
      </c>
      <c r="B8" s="101"/>
      <c r="C8" s="101"/>
      <c r="D8" s="101"/>
      <c r="E8" s="101"/>
      <c r="F8" s="101"/>
      <c r="G8" s="101"/>
      <c r="H8" s="101"/>
      <c r="I8" s="102"/>
    </row>
    <row r="9" spans="1:9" ht="69.75" customHeight="1" x14ac:dyDescent="0.25">
      <c r="A9" s="52" t="s">
        <v>51</v>
      </c>
      <c r="B9" s="15" t="s">
        <v>62</v>
      </c>
      <c r="C9" s="15" t="s">
        <v>63</v>
      </c>
      <c r="D9" s="16" t="s">
        <v>64</v>
      </c>
      <c r="E9" s="15" t="s">
        <v>154</v>
      </c>
      <c r="F9" s="15" t="s">
        <v>68</v>
      </c>
      <c r="G9" s="15" t="s">
        <v>65</v>
      </c>
      <c r="H9" s="17" t="s">
        <v>155</v>
      </c>
      <c r="I9" s="53" t="s">
        <v>156</v>
      </c>
    </row>
    <row r="10" spans="1:9" x14ac:dyDescent="0.25">
      <c r="A10" s="54" t="s">
        <v>29</v>
      </c>
      <c r="B10" s="12">
        <v>8</v>
      </c>
      <c r="C10" s="13">
        <v>15000</v>
      </c>
      <c r="D10" s="50">
        <v>1.4779235174579715E-2</v>
      </c>
      <c r="E10" s="13">
        <f>(E16*D10)</f>
        <v>228.91557361906521</v>
      </c>
      <c r="F10" s="12">
        <v>2</v>
      </c>
      <c r="G10" s="13">
        <f>SUM(C10-E10)</f>
        <v>14771.084426380934</v>
      </c>
      <c r="H10" s="14">
        <f>SUM(I10*0.11)</f>
        <v>812.40964345095142</v>
      </c>
      <c r="I10" s="55">
        <f>SUM(G10/F10)</f>
        <v>7385.542213190467</v>
      </c>
    </row>
    <row r="11" spans="1:9" x14ac:dyDescent="0.25">
      <c r="A11" s="54" t="s">
        <v>48</v>
      </c>
      <c r="B11" s="12">
        <v>20</v>
      </c>
      <c r="C11" s="13">
        <v>40000</v>
      </c>
      <c r="D11" s="50">
        <v>0.17735082209495659</v>
      </c>
      <c r="E11" s="13">
        <f>SUM(E16*D11)</f>
        <v>2746.9868834287827</v>
      </c>
      <c r="F11" s="12">
        <v>12</v>
      </c>
      <c r="G11" s="13">
        <f>SUM(C11-E11)</f>
        <v>37253.013116571216</v>
      </c>
      <c r="H11" s="14">
        <f>SUM(I11*0.11)</f>
        <v>341.48595356856947</v>
      </c>
      <c r="I11" s="55">
        <f>SUM(G11/F11)</f>
        <v>3104.417759714268</v>
      </c>
    </row>
    <row r="12" spans="1:9" x14ac:dyDescent="0.25">
      <c r="A12" s="54" t="s">
        <v>54</v>
      </c>
      <c r="B12" s="12">
        <v>8</v>
      </c>
      <c r="C12" s="13">
        <v>10000</v>
      </c>
      <c r="D12" s="50">
        <v>0.11084426380934786</v>
      </c>
      <c r="E12" s="13">
        <f>E16*D12</f>
        <v>1716.8668021429892</v>
      </c>
      <c r="F12" s="12">
        <v>2</v>
      </c>
      <c r="G12" s="13">
        <f t="shared" ref="G12:G15" si="0">SUM(C12-E12)</f>
        <v>8283.1331978570106</v>
      </c>
      <c r="H12" s="14">
        <f>SUM(I12*0.11)</f>
        <v>455.5723258821356</v>
      </c>
      <c r="I12" s="55">
        <f t="shared" ref="I12:I15" si="1">SUM(G12/F12)</f>
        <v>4141.5665989285053</v>
      </c>
    </row>
    <row r="13" spans="1:9" x14ac:dyDescent="0.25">
      <c r="A13" s="54" t="s">
        <v>55</v>
      </c>
      <c r="B13" s="12">
        <v>50</v>
      </c>
      <c r="C13" s="13">
        <v>60000</v>
      </c>
      <c r="D13" s="50">
        <v>0.10493256973951598</v>
      </c>
      <c r="E13" s="13">
        <f>E16*D13</f>
        <v>1625.3005726953629</v>
      </c>
      <c r="F13" s="12">
        <v>42</v>
      </c>
      <c r="G13" s="13">
        <f t="shared" si="0"/>
        <v>58374.699427304637</v>
      </c>
      <c r="H13" s="14">
        <f>SUM(I13*0.11)</f>
        <v>152.88611754770264</v>
      </c>
      <c r="I13" s="55">
        <f t="shared" si="1"/>
        <v>1389.8737958882057</v>
      </c>
    </row>
    <row r="14" spans="1:9" x14ac:dyDescent="0.25">
      <c r="A14" s="54" t="s">
        <v>49</v>
      </c>
      <c r="B14" s="12">
        <v>20</v>
      </c>
      <c r="C14" s="13">
        <v>130000</v>
      </c>
      <c r="D14" s="50">
        <v>0.33345649362645485</v>
      </c>
      <c r="E14" s="13">
        <f>E16*D14</f>
        <v>5164.9076297801594</v>
      </c>
      <c r="F14" s="12">
        <v>19</v>
      </c>
      <c r="G14" s="13">
        <v>160000</v>
      </c>
      <c r="H14" s="14">
        <v>2734</v>
      </c>
      <c r="I14" s="55">
        <f t="shared" si="1"/>
        <v>8421.0526315789466</v>
      </c>
    </row>
    <row r="15" spans="1:9" x14ac:dyDescent="0.25">
      <c r="A15" s="54" t="s">
        <v>52</v>
      </c>
      <c r="B15" s="12">
        <v>7</v>
      </c>
      <c r="C15" s="13">
        <v>12000</v>
      </c>
      <c r="D15" s="50">
        <v>0.258636615555145</v>
      </c>
      <c r="E15" s="13">
        <f>E16*D15</f>
        <v>4006.022538333641</v>
      </c>
      <c r="F15" s="12">
        <v>2</v>
      </c>
      <c r="G15" s="13">
        <f t="shared" si="0"/>
        <v>7993.977461666359</v>
      </c>
      <c r="H15" s="14">
        <f>SUM(I15*0.11)</f>
        <v>439.66876039164976</v>
      </c>
      <c r="I15" s="55">
        <f t="shared" si="1"/>
        <v>3996.9887308331795</v>
      </c>
    </row>
    <row r="16" spans="1:9" ht="14.4" thickBot="1" x14ac:dyDescent="0.3">
      <c r="A16" s="56" t="s">
        <v>53</v>
      </c>
      <c r="B16" s="57"/>
      <c r="C16" s="58">
        <f>SUM(C10:C15)</f>
        <v>267000</v>
      </c>
      <c r="D16" s="59">
        <f>SUM(D10:D15)</f>
        <v>1</v>
      </c>
      <c r="E16" s="51">
        <v>15489</v>
      </c>
      <c r="F16" s="58"/>
      <c r="G16" s="58">
        <f>SUM(G10:G15)</f>
        <v>286675.90762978012</v>
      </c>
      <c r="H16" s="60">
        <f>SUM(H10:H15)</f>
        <v>4936.0228008410095</v>
      </c>
      <c r="I16" s="61">
        <f>SUM(I10:I15)</f>
        <v>28439.441730133571</v>
      </c>
    </row>
    <row r="17" spans="1:9" ht="13.8" thickBot="1" x14ac:dyDescent="0.3"/>
    <row r="18" spans="1:9" ht="12.75" customHeight="1" x14ac:dyDescent="0.25">
      <c r="A18" s="90" t="s">
        <v>71</v>
      </c>
      <c r="B18" s="91"/>
      <c r="C18" s="91"/>
      <c r="D18" s="91"/>
      <c r="E18" s="91"/>
      <c r="F18" s="91"/>
      <c r="G18" s="91"/>
      <c r="H18" s="91"/>
      <c r="I18" s="92"/>
    </row>
    <row r="19" spans="1:9" ht="13.8" thickBot="1" x14ac:dyDescent="0.3">
      <c r="A19" s="93"/>
      <c r="B19" s="94"/>
      <c r="C19" s="94"/>
      <c r="D19" s="94"/>
      <c r="E19" s="94"/>
      <c r="F19" s="94"/>
      <c r="G19" s="94"/>
      <c r="H19" s="94"/>
      <c r="I19" s="95"/>
    </row>
    <row r="26" spans="1:9" x14ac:dyDescent="0.25">
      <c r="E26">
        <f>5199/12/4</f>
        <v>108.3125</v>
      </c>
    </row>
  </sheetData>
  <mergeCells count="3">
    <mergeCell ref="A2:F2"/>
    <mergeCell ref="A8:I8"/>
    <mergeCell ref="A18:I19"/>
  </mergeCells>
  <pageMargins left="0.2" right="0.23" top="1" bottom="0.52" header="0.5" footer="0.5"/>
  <pageSetup scale="76" orientation="landscape" horizontalDpi="300" verticalDpi="300" r:id="rId1"/>
  <headerFooter alignWithMargins="0">
    <oddHeader xml:space="preserve">&amp;C&amp;"Arial,Bold"&amp;12Oakland Arms Condominium Association, Inc.
Reserves 2021
</oddHeader>
    <oddFooter>&amp;L&amp;T&amp;D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4BE39-02B8-4C61-8116-627A2B42BC46}">
  <sheetPr>
    <tabColor rgb="FFFFFF00"/>
  </sheetPr>
  <dimension ref="A1:I26"/>
  <sheetViews>
    <sheetView zoomScale="84" zoomScaleNormal="84" workbookViewId="0">
      <selection activeCell="I5" sqref="I5"/>
    </sheetView>
  </sheetViews>
  <sheetFormatPr defaultColWidth="8.77734375" defaultRowHeight="13.2" x14ac:dyDescent="0.25"/>
  <cols>
    <col min="1" max="1" width="23" customWidth="1"/>
    <col min="2" max="2" width="18.44140625" customWidth="1"/>
    <col min="3" max="3" width="26.21875" customWidth="1"/>
    <col min="4" max="4" width="19.44140625" customWidth="1"/>
    <col min="5" max="5" width="18.5546875" customWidth="1"/>
    <col min="6" max="6" width="15.21875" customWidth="1"/>
    <col min="7" max="7" width="10.77734375" bestFit="1" customWidth="1"/>
    <col min="8" max="8" width="12.44140625" customWidth="1"/>
    <col min="9" max="9" width="13.44140625" customWidth="1"/>
  </cols>
  <sheetData>
    <row r="1" spans="1:9" ht="13.8" thickBot="1" x14ac:dyDescent="0.3"/>
    <row r="2" spans="1:9" ht="37.5" customHeight="1" x14ac:dyDescent="0.3">
      <c r="A2" s="106" t="s">
        <v>43</v>
      </c>
      <c r="B2" s="107"/>
      <c r="C2" s="107"/>
      <c r="D2" s="107"/>
      <c r="E2" s="107"/>
      <c r="F2" s="108"/>
      <c r="G2" s="3"/>
    </row>
    <row r="3" spans="1:9" ht="78" x14ac:dyDescent="0.3">
      <c r="A3" s="66" t="s">
        <v>44</v>
      </c>
      <c r="B3" s="40" t="s">
        <v>70</v>
      </c>
      <c r="C3" s="40" t="s">
        <v>60</v>
      </c>
      <c r="D3" s="64" t="s">
        <v>45</v>
      </c>
      <c r="E3" s="40" t="s">
        <v>61</v>
      </c>
      <c r="F3" s="67" t="s">
        <v>46</v>
      </c>
    </row>
    <row r="4" spans="1:9" ht="15" x14ac:dyDescent="0.25">
      <c r="A4" s="68" t="s">
        <v>56</v>
      </c>
      <c r="B4" s="65">
        <v>2012</v>
      </c>
      <c r="C4" s="65">
        <f>SUM(I16/4/12)</f>
        <v>636.41181077694239</v>
      </c>
      <c r="D4" s="65">
        <f>SUM(B4+C4)</f>
        <v>2648.4118107769423</v>
      </c>
      <c r="E4" s="65">
        <f>SUM(H16/4/12)</f>
        <v>107.66538690476189</v>
      </c>
      <c r="F4" s="69">
        <f>SUM(B4+E4)</f>
        <v>2119.6653869047618</v>
      </c>
    </row>
    <row r="5" spans="1:9" ht="15.6" x14ac:dyDescent="0.3">
      <c r="A5" s="66" t="s">
        <v>47</v>
      </c>
      <c r="B5" s="38">
        <f>B4*12*4</f>
        <v>96576</v>
      </c>
      <c r="C5" s="38">
        <f>SUM(C4*12*4)</f>
        <v>30547.766917293236</v>
      </c>
      <c r="D5" s="38">
        <f>SUM(D4*12*4)</f>
        <v>127123.76691729322</v>
      </c>
      <c r="E5" s="38">
        <f>SUM(E4*12*4)</f>
        <v>5167.9385714285709</v>
      </c>
      <c r="F5" s="70">
        <f>SUM(F4*4*12)</f>
        <v>101743.93857142856</v>
      </c>
      <c r="I5" s="75">
        <f>C5*0.17</f>
        <v>5193.1203759398504</v>
      </c>
    </row>
    <row r="6" spans="1:9" ht="16.2" thickBot="1" x14ac:dyDescent="0.35">
      <c r="A6" s="109" t="s">
        <v>157</v>
      </c>
      <c r="B6" s="110"/>
      <c r="C6" s="73">
        <v>9481.36</v>
      </c>
      <c r="D6" s="71"/>
      <c r="E6" s="71"/>
      <c r="F6" s="72"/>
    </row>
    <row r="7" spans="1:9" ht="13.8" thickBot="1" x14ac:dyDescent="0.3"/>
    <row r="8" spans="1:9" ht="15.6" x14ac:dyDescent="0.3">
      <c r="A8" s="100" t="s">
        <v>153</v>
      </c>
      <c r="B8" s="101"/>
      <c r="C8" s="101"/>
      <c r="D8" s="101"/>
      <c r="E8" s="101"/>
      <c r="F8" s="101"/>
      <c r="G8" s="101"/>
      <c r="H8" s="101"/>
      <c r="I8" s="102"/>
    </row>
    <row r="9" spans="1:9" ht="69.75" customHeight="1" x14ac:dyDescent="0.25">
      <c r="A9" s="52" t="s">
        <v>51</v>
      </c>
      <c r="B9" s="15" t="s">
        <v>62</v>
      </c>
      <c r="C9" s="15" t="s">
        <v>63</v>
      </c>
      <c r="D9" s="16" t="s">
        <v>64</v>
      </c>
      <c r="E9" s="15" t="s">
        <v>154</v>
      </c>
      <c r="F9" s="15" t="s">
        <v>68</v>
      </c>
      <c r="G9" s="15" t="s">
        <v>65</v>
      </c>
      <c r="H9" s="17" t="s">
        <v>155</v>
      </c>
      <c r="I9" s="53" t="s">
        <v>156</v>
      </c>
    </row>
    <row r="10" spans="1:9" x14ac:dyDescent="0.25">
      <c r="A10" s="54" t="s">
        <v>29</v>
      </c>
      <c r="B10" s="12">
        <v>8</v>
      </c>
      <c r="C10" s="13">
        <v>15000</v>
      </c>
      <c r="D10" s="50">
        <v>1.4779235174579715E-2</v>
      </c>
      <c r="E10" s="62">
        <v>80</v>
      </c>
      <c r="F10" s="12">
        <v>2</v>
      </c>
      <c r="G10" s="13">
        <f>SUM(C10-E10)</f>
        <v>14920</v>
      </c>
      <c r="H10" s="14">
        <f>SUM(I10*0.11)</f>
        <v>820.6</v>
      </c>
      <c r="I10" s="55">
        <f>SUM(G10/F10)</f>
        <v>7460</v>
      </c>
    </row>
    <row r="11" spans="1:9" x14ac:dyDescent="0.25">
      <c r="A11" s="54" t="s">
        <v>48</v>
      </c>
      <c r="B11" s="12">
        <v>20</v>
      </c>
      <c r="C11" s="13">
        <v>40000</v>
      </c>
      <c r="D11" s="50">
        <v>0.17735082209495659</v>
      </c>
      <c r="E11" s="62">
        <v>980</v>
      </c>
      <c r="F11" s="12">
        <v>12</v>
      </c>
      <c r="G11" s="13">
        <f>SUM(C11-E11)</f>
        <v>39020</v>
      </c>
      <c r="H11" s="14">
        <f>SUM(I11*0.11)</f>
        <v>357.68333333333334</v>
      </c>
      <c r="I11" s="55">
        <f>SUM(G11/F11)</f>
        <v>3251.6666666666665</v>
      </c>
    </row>
    <row r="12" spans="1:9" x14ac:dyDescent="0.25">
      <c r="A12" s="54" t="s">
        <v>54</v>
      </c>
      <c r="B12" s="12">
        <v>8</v>
      </c>
      <c r="C12" s="13">
        <v>10000</v>
      </c>
      <c r="D12" s="50">
        <v>0.11084426380934786</v>
      </c>
      <c r="E12" s="62">
        <v>600</v>
      </c>
      <c r="F12" s="12">
        <v>2</v>
      </c>
      <c r="G12" s="13">
        <f t="shared" ref="G12:G15" si="0">SUM(C12-E12)</f>
        <v>9400</v>
      </c>
      <c r="H12" s="14">
        <f>SUM(I12*0.11)</f>
        <v>517</v>
      </c>
      <c r="I12" s="55">
        <f t="shared" ref="I12:I15" si="1">SUM(G12/F12)</f>
        <v>4700</v>
      </c>
    </row>
    <row r="13" spans="1:9" x14ac:dyDescent="0.25">
      <c r="A13" s="54" t="s">
        <v>55</v>
      </c>
      <c r="B13" s="12">
        <v>50</v>
      </c>
      <c r="C13" s="13">
        <v>60000</v>
      </c>
      <c r="D13" s="50">
        <v>0.10493256973951598</v>
      </c>
      <c r="E13" s="62">
        <v>568</v>
      </c>
      <c r="F13" s="12">
        <v>42</v>
      </c>
      <c r="G13" s="13">
        <f t="shared" si="0"/>
        <v>59432</v>
      </c>
      <c r="H13" s="14">
        <f>SUM(I13*0.11)</f>
        <v>155.6552380952381</v>
      </c>
      <c r="I13" s="55">
        <f t="shared" si="1"/>
        <v>1415.047619047619</v>
      </c>
    </row>
    <row r="14" spans="1:9" x14ac:dyDescent="0.25">
      <c r="A14" s="54" t="s">
        <v>49</v>
      </c>
      <c r="B14" s="12">
        <v>20</v>
      </c>
      <c r="C14" s="13">
        <v>130000</v>
      </c>
      <c r="D14" s="50">
        <v>0.33345649362645485</v>
      </c>
      <c r="E14" s="62">
        <v>1901</v>
      </c>
      <c r="F14" s="12">
        <v>19</v>
      </c>
      <c r="G14" s="13">
        <v>160000</v>
      </c>
      <c r="H14" s="14">
        <v>2734</v>
      </c>
      <c r="I14" s="55">
        <f t="shared" si="1"/>
        <v>8421.0526315789466</v>
      </c>
    </row>
    <row r="15" spans="1:9" x14ac:dyDescent="0.25">
      <c r="A15" s="54" t="s">
        <v>52</v>
      </c>
      <c r="B15" s="12">
        <v>7</v>
      </c>
      <c r="C15" s="13">
        <v>12000</v>
      </c>
      <c r="D15" s="50">
        <v>0.258636615555145</v>
      </c>
      <c r="E15" s="62">
        <v>1400</v>
      </c>
      <c r="F15" s="12">
        <v>2</v>
      </c>
      <c r="G15" s="13">
        <f t="shared" si="0"/>
        <v>10600</v>
      </c>
      <c r="H15" s="14">
        <f>SUM(I15*0.11)</f>
        <v>583</v>
      </c>
      <c r="I15" s="55">
        <f t="shared" si="1"/>
        <v>5300</v>
      </c>
    </row>
    <row r="16" spans="1:9" ht="14.4" thickBot="1" x14ac:dyDescent="0.3">
      <c r="A16" s="56" t="s">
        <v>53</v>
      </c>
      <c r="B16" s="57"/>
      <c r="C16" s="58">
        <f>SUM(C10:C15)</f>
        <v>267000</v>
      </c>
      <c r="D16" s="59">
        <f>SUM(D10:D15)</f>
        <v>1</v>
      </c>
      <c r="E16" s="63">
        <f>SUM(E10:E15)</f>
        <v>5529</v>
      </c>
      <c r="F16" s="58"/>
      <c r="G16" s="58">
        <f>SUM(G10:G15)</f>
        <v>293372</v>
      </c>
      <c r="H16" s="60">
        <f>SUM(H10:H15)</f>
        <v>5167.9385714285709</v>
      </c>
      <c r="I16" s="61">
        <f>SUM(I10:I15)</f>
        <v>30547.766917293233</v>
      </c>
    </row>
    <row r="17" spans="1:9" ht="13.8" thickBot="1" x14ac:dyDescent="0.3"/>
    <row r="18" spans="1:9" ht="12.75" customHeight="1" x14ac:dyDescent="0.25">
      <c r="A18" s="90" t="s">
        <v>71</v>
      </c>
      <c r="B18" s="91"/>
      <c r="C18" s="91"/>
      <c r="D18" s="91"/>
      <c r="E18" s="91"/>
      <c r="F18" s="91"/>
      <c r="G18" s="91"/>
      <c r="H18" s="91"/>
      <c r="I18" s="92"/>
    </row>
    <row r="19" spans="1:9" ht="13.8" thickBot="1" x14ac:dyDescent="0.3">
      <c r="A19" s="93"/>
      <c r="B19" s="94"/>
      <c r="C19" s="94"/>
      <c r="D19" s="94"/>
      <c r="E19" s="94"/>
      <c r="F19" s="94"/>
      <c r="G19" s="94"/>
      <c r="H19" s="94"/>
      <c r="I19" s="95"/>
    </row>
    <row r="26" spans="1:9" x14ac:dyDescent="0.25">
      <c r="E26">
        <f>5199/12/4</f>
        <v>108.3125</v>
      </c>
    </row>
  </sheetData>
  <mergeCells count="4">
    <mergeCell ref="A2:F2"/>
    <mergeCell ref="A8:I8"/>
    <mergeCell ref="A18:I19"/>
    <mergeCell ref="A6:B6"/>
  </mergeCells>
  <pageMargins left="0.2" right="0.23" top="1" bottom="0.52" header="0.5" footer="0.5"/>
  <pageSetup scale="76" orientation="landscape" horizontalDpi="300" verticalDpi="300" r:id="rId1"/>
  <headerFooter alignWithMargins="0">
    <oddHeader xml:space="preserve">&amp;C&amp;"Arial,Bold"&amp;12Oakland Arms Condominium Association, Inc.
Reserves 2021
</oddHeader>
    <oddFooter>&amp;L&amp;T&amp;D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9"/>
  <sheetViews>
    <sheetView view="pageLayout" topLeftCell="B46" zoomScaleNormal="100" workbookViewId="0">
      <selection activeCell="C24" sqref="C24"/>
    </sheetView>
  </sheetViews>
  <sheetFormatPr defaultColWidth="8.77734375" defaultRowHeight="13.2" x14ac:dyDescent="0.25"/>
  <cols>
    <col min="1" max="1" width="23" customWidth="1"/>
    <col min="2" max="2" width="18.44140625" customWidth="1"/>
    <col min="3" max="3" width="26.21875" customWidth="1"/>
    <col min="4" max="4" width="19.44140625" customWidth="1"/>
    <col min="5" max="5" width="18.5546875" customWidth="1"/>
    <col min="6" max="6" width="15.21875" customWidth="1"/>
    <col min="7" max="7" width="9.44140625" bestFit="1" customWidth="1"/>
    <col min="8" max="8" width="12.44140625" bestFit="1" customWidth="1"/>
    <col min="9" max="9" width="13.44140625" bestFit="1" customWidth="1"/>
  </cols>
  <sheetData>
    <row r="1" spans="1:9" ht="13.8" thickBot="1" x14ac:dyDescent="0.3"/>
    <row r="2" spans="1:9" ht="37.5" customHeight="1" thickTop="1" thickBot="1" x14ac:dyDescent="0.35">
      <c r="A2" s="76" t="s">
        <v>43</v>
      </c>
      <c r="B2" s="77"/>
      <c r="C2" s="77"/>
      <c r="D2" s="77"/>
      <c r="E2" s="77"/>
      <c r="F2" s="78"/>
      <c r="G2" s="3"/>
    </row>
    <row r="3" spans="1:9" ht="78" x14ac:dyDescent="0.3">
      <c r="A3" s="21" t="s">
        <v>44</v>
      </c>
      <c r="B3" s="18" t="s">
        <v>70</v>
      </c>
      <c r="C3" s="18" t="s">
        <v>60</v>
      </c>
      <c r="D3" s="19" t="s">
        <v>45</v>
      </c>
      <c r="E3" s="18" t="s">
        <v>61</v>
      </c>
      <c r="F3" s="22" t="s">
        <v>46</v>
      </c>
    </row>
    <row r="4" spans="1:9" ht="15" x14ac:dyDescent="0.25">
      <c r="A4" s="23" t="s">
        <v>56</v>
      </c>
      <c r="B4" s="20">
        <v>1000</v>
      </c>
      <c r="C4" s="20">
        <f>SUM(I16/4/12)</f>
        <v>466.92794468802214</v>
      </c>
      <c r="D4" s="20">
        <f>SUM(B4+C4)</f>
        <v>1466.9279446880221</v>
      </c>
      <c r="E4" s="20">
        <f>SUM(H16/4/12)</f>
        <v>233.46397234401107</v>
      </c>
      <c r="F4" s="24">
        <f>SUM(B4+E4)</f>
        <v>1233.4639723440112</v>
      </c>
    </row>
    <row r="5" spans="1:9" ht="16.2" thickBot="1" x14ac:dyDescent="0.35">
      <c r="A5" s="25" t="s">
        <v>47</v>
      </c>
      <c r="B5" s="26">
        <f>B4*12*4</f>
        <v>48000</v>
      </c>
      <c r="C5" s="26">
        <f>SUM(C4*12*4)</f>
        <v>22412.541345025063</v>
      </c>
      <c r="D5" s="26">
        <f>SUM(D4*12*4)</f>
        <v>70412.541345025063</v>
      </c>
      <c r="E5" s="26">
        <f>SUM(E4*12*4)</f>
        <v>11206.270672512532</v>
      </c>
      <c r="F5" s="27">
        <f>SUM(F4*4*12)</f>
        <v>59206.270672512532</v>
      </c>
    </row>
    <row r="6" spans="1:9" ht="13.8" thickTop="1" x14ac:dyDescent="0.25"/>
    <row r="7" spans="1:9" ht="13.8" thickBot="1" x14ac:dyDescent="0.3"/>
    <row r="8" spans="1:9" ht="16.2" thickTop="1" x14ac:dyDescent="0.3">
      <c r="A8" s="89" t="s">
        <v>76</v>
      </c>
      <c r="B8" s="80"/>
      <c r="C8" s="80"/>
      <c r="D8" s="80"/>
      <c r="E8" s="80"/>
      <c r="F8" s="80"/>
      <c r="G8" s="80"/>
      <c r="H8" s="80"/>
      <c r="I8" s="81"/>
    </row>
    <row r="9" spans="1:9" ht="38.25" customHeight="1" x14ac:dyDescent="0.25">
      <c r="A9" s="28" t="s">
        <v>51</v>
      </c>
      <c r="B9" s="15" t="s">
        <v>62</v>
      </c>
      <c r="C9" s="15" t="s">
        <v>63</v>
      </c>
      <c r="D9" s="16" t="s">
        <v>64</v>
      </c>
      <c r="E9" s="15" t="s">
        <v>77</v>
      </c>
      <c r="F9" s="15" t="s">
        <v>68</v>
      </c>
      <c r="G9" s="15" t="s">
        <v>65</v>
      </c>
      <c r="H9" s="17" t="s">
        <v>78</v>
      </c>
      <c r="I9" s="29" t="s">
        <v>79</v>
      </c>
    </row>
    <row r="10" spans="1:9" x14ac:dyDescent="0.25">
      <c r="A10" s="30" t="s">
        <v>29</v>
      </c>
      <c r="B10" s="12">
        <v>8</v>
      </c>
      <c r="C10" s="13">
        <v>15000</v>
      </c>
      <c r="D10" s="11">
        <v>0.2</v>
      </c>
      <c r="E10" s="13">
        <v>1180.2865999999999</v>
      </c>
      <c r="F10" s="12">
        <v>4</v>
      </c>
      <c r="G10" s="13">
        <f>SUM(C10-E10)</f>
        <v>13819.713400000001</v>
      </c>
      <c r="H10" s="14">
        <f>SUM(I10*0.5)</f>
        <v>1727.4641750000001</v>
      </c>
      <c r="I10" s="31">
        <f>SUM(G10/F10)</f>
        <v>3454.9283500000001</v>
      </c>
    </row>
    <row r="11" spans="1:9" x14ac:dyDescent="0.25">
      <c r="A11" s="30" t="s">
        <v>48</v>
      </c>
      <c r="B11" s="12">
        <v>20</v>
      </c>
      <c r="C11" s="13">
        <v>40000</v>
      </c>
      <c r="D11" s="11">
        <v>0.05</v>
      </c>
      <c r="E11" s="13">
        <v>980.01791250000008</v>
      </c>
      <c r="F11" s="12">
        <v>19</v>
      </c>
      <c r="G11" s="13">
        <f>SUM(C11-E11)</f>
        <v>39019.9820875</v>
      </c>
      <c r="H11" s="14">
        <f>SUM(I11*0.5)</f>
        <v>1026.8416338815789</v>
      </c>
      <c r="I11" s="31">
        <f>SUM(G11/F11)</f>
        <v>2053.6832677631578</v>
      </c>
    </row>
    <row r="12" spans="1:9" x14ac:dyDescent="0.25">
      <c r="A12" s="30" t="s">
        <v>54</v>
      </c>
      <c r="B12" s="12">
        <v>8</v>
      </c>
      <c r="C12" s="13">
        <v>10000</v>
      </c>
      <c r="D12" s="11">
        <v>0.1</v>
      </c>
      <c r="E12" s="13">
        <v>600.10235714285716</v>
      </c>
      <c r="F12" s="12">
        <v>6</v>
      </c>
      <c r="G12" s="13">
        <f t="shared" ref="G12:G15" si="0">SUM(C12-E12)</f>
        <v>9399.8976428571423</v>
      </c>
      <c r="H12" s="14">
        <f t="shared" ref="H12:H15" si="1">SUM(I12*0.5)</f>
        <v>783.32480357142856</v>
      </c>
      <c r="I12" s="31">
        <f t="shared" ref="I12:I15" si="2">SUM(G12/F12)</f>
        <v>1566.6496071428571</v>
      </c>
    </row>
    <row r="13" spans="1:9" x14ac:dyDescent="0.25">
      <c r="A13" s="30" t="s">
        <v>55</v>
      </c>
      <c r="B13" s="12">
        <v>50</v>
      </c>
      <c r="C13" s="13">
        <v>60000</v>
      </c>
      <c r="D13" s="11">
        <v>0.2</v>
      </c>
      <c r="E13" s="13">
        <v>568.02866000000006</v>
      </c>
      <c r="F13" s="12">
        <v>49</v>
      </c>
      <c r="G13" s="13">
        <f t="shared" si="0"/>
        <v>59431.971339999996</v>
      </c>
      <c r="H13" s="14">
        <f t="shared" si="1"/>
        <v>606.44868714285712</v>
      </c>
      <c r="I13" s="31">
        <f t="shared" si="2"/>
        <v>1212.8973742857142</v>
      </c>
    </row>
    <row r="14" spans="1:9" x14ac:dyDescent="0.25">
      <c r="A14" s="30" t="s">
        <v>49</v>
      </c>
      <c r="B14" s="12">
        <v>20</v>
      </c>
      <c r="C14" s="13">
        <v>100000</v>
      </c>
      <c r="D14" s="11">
        <v>0.4</v>
      </c>
      <c r="E14" s="13">
        <v>4680.2866000000004</v>
      </c>
      <c r="F14" s="12">
        <v>9</v>
      </c>
      <c r="G14" s="13">
        <f t="shared" si="0"/>
        <v>95319.713399999993</v>
      </c>
      <c r="H14" s="14">
        <f t="shared" si="1"/>
        <v>5295.5396333333329</v>
      </c>
      <c r="I14" s="31">
        <f t="shared" si="2"/>
        <v>10591.079266666666</v>
      </c>
    </row>
    <row r="15" spans="1:9" x14ac:dyDescent="0.25">
      <c r="A15" s="30" t="s">
        <v>52</v>
      </c>
      <c r="B15" s="12">
        <v>7</v>
      </c>
      <c r="C15" s="13">
        <v>12000</v>
      </c>
      <c r="D15" s="11">
        <v>0.05</v>
      </c>
      <c r="E15" s="13">
        <v>1400.0895625000001</v>
      </c>
      <c r="F15" s="12">
        <v>3</v>
      </c>
      <c r="G15" s="13">
        <f t="shared" si="0"/>
        <v>10599.910437500001</v>
      </c>
      <c r="H15" s="14">
        <f t="shared" si="1"/>
        <v>1766.6517395833334</v>
      </c>
      <c r="I15" s="31">
        <f t="shared" si="2"/>
        <v>3533.3034791666669</v>
      </c>
    </row>
    <row r="16" spans="1:9" ht="13.8" thickBot="1" x14ac:dyDescent="0.3">
      <c r="A16" s="32" t="s">
        <v>53</v>
      </c>
      <c r="B16" s="33"/>
      <c r="C16" s="34">
        <f>SUM(C10:C15)</f>
        <v>237000</v>
      </c>
      <c r="D16" s="35">
        <f>SUM(D10:D15)</f>
        <v>1</v>
      </c>
      <c r="E16" s="34">
        <v>9408.8116921428573</v>
      </c>
      <c r="F16" s="34"/>
      <c r="G16" s="34">
        <f>SUM(G10:G15)</f>
        <v>227591.18830785714</v>
      </c>
      <c r="H16" s="36">
        <f>SUM(H10:H15)</f>
        <v>11206.270672512532</v>
      </c>
      <c r="I16" s="37">
        <f>SUM(I10:I15)</f>
        <v>22412.541345025063</v>
      </c>
    </row>
    <row r="17" spans="1:9" ht="14.4" thickTop="1" thickBot="1" x14ac:dyDescent="0.3"/>
    <row r="18" spans="1:9" ht="12.75" customHeight="1" x14ac:dyDescent="0.25">
      <c r="A18" s="90" t="s">
        <v>71</v>
      </c>
      <c r="B18" s="91"/>
      <c r="C18" s="91"/>
      <c r="D18" s="91"/>
      <c r="E18" s="91"/>
      <c r="F18" s="91"/>
      <c r="G18" s="91"/>
      <c r="H18" s="91"/>
      <c r="I18" s="92"/>
    </row>
    <row r="19" spans="1:9" ht="13.8" thickBot="1" x14ac:dyDescent="0.3">
      <c r="A19" s="93"/>
      <c r="B19" s="94"/>
      <c r="C19" s="94"/>
      <c r="D19" s="94"/>
      <c r="E19" s="94"/>
      <c r="F19" s="94"/>
      <c r="G19" s="94"/>
      <c r="H19" s="94"/>
      <c r="I19" s="95"/>
    </row>
  </sheetData>
  <mergeCells count="3">
    <mergeCell ref="A8:I8"/>
    <mergeCell ref="A2:F2"/>
    <mergeCell ref="A18:I19"/>
  </mergeCells>
  <phoneticPr fontId="4" type="noConversion"/>
  <pageMargins left="0.2" right="0.23" top="1" bottom="0.52" header="0.5" footer="0.5"/>
  <pageSetup scale="76" orientation="landscape" r:id="rId1"/>
  <headerFooter alignWithMargins="0">
    <oddHeader>&amp;C&amp;"Arial,Bold"&amp;12Oakland Arms Condominium Association, Inc.
for January 1, 2015 to December 31, 2015
Reserves 2015</oddHeader>
    <oddFooter>&amp;L&amp;T&amp;D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3"/>
  <sheetViews>
    <sheetView zoomScaleNormal="100" workbookViewId="0">
      <selection activeCell="A37" sqref="A37"/>
    </sheetView>
  </sheetViews>
  <sheetFormatPr defaultColWidth="9.21875" defaultRowHeight="15" x14ac:dyDescent="0.25"/>
  <cols>
    <col min="1" max="1" width="39.5546875" style="2" bestFit="1" customWidth="1"/>
    <col min="2" max="2" width="25.21875" style="7" customWidth="1"/>
    <col min="3" max="3" width="21.44140625" style="7" customWidth="1"/>
    <col min="4" max="4" width="20.77734375" style="2" bestFit="1" customWidth="1"/>
    <col min="5" max="16384" width="9.21875" style="2"/>
  </cols>
  <sheetData>
    <row r="1" spans="1:4" ht="15" customHeight="1" x14ac:dyDescent="0.25">
      <c r="A1" s="96" t="s">
        <v>74</v>
      </c>
      <c r="B1" s="96"/>
      <c r="C1" s="96"/>
      <c r="D1" s="96"/>
    </row>
    <row r="2" spans="1:4" ht="15" customHeight="1" x14ac:dyDescent="0.25">
      <c r="A2" s="96"/>
      <c r="B2" s="96"/>
      <c r="C2" s="96"/>
      <c r="D2" s="96"/>
    </row>
    <row r="4" spans="1:4" ht="31.2" x14ac:dyDescent="0.3">
      <c r="B4" s="41" t="s">
        <v>75</v>
      </c>
      <c r="C4" s="41" t="s">
        <v>80</v>
      </c>
      <c r="D4" s="39" t="s">
        <v>59</v>
      </c>
    </row>
    <row r="5" spans="1:4" ht="15.6" x14ac:dyDescent="0.3">
      <c r="B5" s="40">
        <v>2014</v>
      </c>
      <c r="C5" s="40">
        <v>2014</v>
      </c>
      <c r="D5" s="40">
        <v>2015</v>
      </c>
    </row>
    <row r="6" spans="1:4" ht="15.6" x14ac:dyDescent="0.3">
      <c r="A6" s="1" t="s">
        <v>0</v>
      </c>
      <c r="D6" s="7"/>
    </row>
    <row r="7" spans="1:4" x14ac:dyDescent="0.25">
      <c r="A7" s="5" t="s">
        <v>57</v>
      </c>
      <c r="B7" s="7">
        <v>4000</v>
      </c>
      <c r="C7" s="7">
        <v>2100</v>
      </c>
      <c r="D7" s="7">
        <v>2100</v>
      </c>
    </row>
    <row r="8" spans="1:4" x14ac:dyDescent="0.25">
      <c r="A8" s="5" t="s">
        <v>21</v>
      </c>
      <c r="B8" s="7">
        <v>10</v>
      </c>
      <c r="C8" s="7">
        <v>3</v>
      </c>
      <c r="D8" s="7">
        <v>5</v>
      </c>
    </row>
    <row r="9" spans="1:4" x14ac:dyDescent="0.25">
      <c r="A9" s="5" t="s">
        <v>22</v>
      </c>
      <c r="B9" s="7">
        <v>50</v>
      </c>
      <c r="C9" s="7">
        <v>50</v>
      </c>
      <c r="D9" s="7">
        <v>50</v>
      </c>
    </row>
    <row r="10" spans="1:4" x14ac:dyDescent="0.25">
      <c r="A10" s="5" t="s">
        <v>23</v>
      </c>
      <c r="B10" s="7">
        <v>1200</v>
      </c>
      <c r="C10" s="7">
        <v>740</v>
      </c>
      <c r="D10" s="7">
        <v>1000</v>
      </c>
    </row>
    <row r="11" spans="1:4" x14ac:dyDescent="0.25">
      <c r="A11" s="5" t="s">
        <v>72</v>
      </c>
      <c r="B11" s="7">
        <v>48000</v>
      </c>
      <c r="C11" s="7">
        <v>47160</v>
      </c>
      <c r="D11" s="7">
        <v>48000</v>
      </c>
    </row>
    <row r="12" spans="1:4" s="3" customFormat="1" ht="15.6" x14ac:dyDescent="0.3">
      <c r="A12" s="3" t="s">
        <v>3</v>
      </c>
      <c r="B12" s="38">
        <f>SUM(B7:B11)</f>
        <v>53260</v>
      </c>
      <c r="C12" s="38">
        <f>SUM(C7:C11)</f>
        <v>50053</v>
      </c>
      <c r="D12" s="38">
        <f>SUM(D7:D11)</f>
        <v>51155</v>
      </c>
    </row>
    <row r="13" spans="1:4" ht="15.6" x14ac:dyDescent="0.3">
      <c r="A13" s="1" t="s">
        <v>4</v>
      </c>
      <c r="D13" s="7"/>
    </row>
    <row r="14" spans="1:4" ht="15.6" x14ac:dyDescent="0.3">
      <c r="A14" s="1" t="s">
        <v>5</v>
      </c>
      <c r="D14" s="7"/>
    </row>
    <row r="15" spans="1:4" x14ac:dyDescent="0.25">
      <c r="A15" s="5" t="s">
        <v>24</v>
      </c>
      <c r="B15" s="7">
        <f>140*3+300</f>
        <v>720</v>
      </c>
      <c r="C15" s="7">
        <v>1930</v>
      </c>
      <c r="D15" s="7">
        <v>1930</v>
      </c>
    </row>
    <row r="16" spans="1:4" x14ac:dyDescent="0.25">
      <c r="A16" s="5" t="s">
        <v>6</v>
      </c>
      <c r="B16" s="7">
        <v>0</v>
      </c>
      <c r="C16" s="7">
        <v>17</v>
      </c>
      <c r="D16" s="7">
        <v>20</v>
      </c>
    </row>
    <row r="17" spans="1:6" x14ac:dyDescent="0.25">
      <c r="A17" s="2" t="s">
        <v>12</v>
      </c>
      <c r="B17" s="7">
        <v>250</v>
      </c>
      <c r="C17" s="7">
        <v>500</v>
      </c>
      <c r="D17" s="7">
        <v>400</v>
      </c>
    </row>
    <row r="18" spans="1:6" x14ac:dyDescent="0.25">
      <c r="A18" s="2" t="s">
        <v>7</v>
      </c>
      <c r="B18" s="7">
        <v>120</v>
      </c>
      <c r="C18" s="7">
        <v>62</v>
      </c>
      <c r="D18" s="7">
        <v>62</v>
      </c>
    </row>
    <row r="19" spans="1:6" ht="15.6" thickBot="1" x14ac:dyDescent="0.3">
      <c r="A19" s="5" t="s">
        <v>39</v>
      </c>
      <c r="B19" s="8">
        <v>3600</v>
      </c>
      <c r="C19" s="8">
        <v>2400</v>
      </c>
      <c r="D19" s="8">
        <v>2400</v>
      </c>
    </row>
    <row r="20" spans="1:6" s="3" customFormat="1" ht="15.6" x14ac:dyDescent="0.3">
      <c r="A20" s="3" t="s">
        <v>19</v>
      </c>
      <c r="B20" s="38">
        <f>SUM(B15:B19)</f>
        <v>4690</v>
      </c>
      <c r="C20" s="38">
        <f>SUM(C15:C19)</f>
        <v>4909</v>
      </c>
      <c r="D20" s="38">
        <f>SUM(D15:D19)</f>
        <v>4812</v>
      </c>
    </row>
    <row r="21" spans="1:6" x14ac:dyDescent="0.25">
      <c r="D21" s="7"/>
    </row>
    <row r="22" spans="1:6" s="3" customFormat="1" ht="15.6" x14ac:dyDescent="0.3">
      <c r="A22" s="3" t="s">
        <v>8</v>
      </c>
      <c r="B22" s="6">
        <v>20000</v>
      </c>
      <c r="C22" s="6">
        <v>21000</v>
      </c>
      <c r="D22" s="6">
        <v>21268</v>
      </c>
      <c r="E22" s="1" t="s">
        <v>81</v>
      </c>
    </row>
    <row r="23" spans="1:6" x14ac:dyDescent="0.25">
      <c r="D23" s="7"/>
    </row>
    <row r="24" spans="1:6" ht="15.6" x14ac:dyDescent="0.3">
      <c r="A24" s="1" t="s">
        <v>9</v>
      </c>
      <c r="D24" s="7"/>
    </row>
    <row r="25" spans="1:6" x14ac:dyDescent="0.25">
      <c r="A25" s="5" t="s">
        <v>27</v>
      </c>
      <c r="B25" s="7">
        <v>1232</v>
      </c>
      <c r="C25" s="7">
        <v>1200</v>
      </c>
      <c r="D25" s="7">
        <v>1200</v>
      </c>
      <c r="E25" s="2" t="s">
        <v>81</v>
      </c>
    </row>
    <row r="26" spans="1:6" x14ac:dyDescent="0.25">
      <c r="A26" s="5" t="s">
        <v>28</v>
      </c>
      <c r="B26" s="7">
        <v>2500</v>
      </c>
      <c r="C26" s="7">
        <v>1700</v>
      </c>
      <c r="D26" s="7">
        <v>1200</v>
      </c>
      <c r="E26" s="2" t="s">
        <v>81</v>
      </c>
    </row>
    <row r="27" spans="1:6" x14ac:dyDescent="0.25">
      <c r="A27" s="5" t="s">
        <v>29</v>
      </c>
      <c r="B27" s="7">
        <v>0</v>
      </c>
      <c r="C27" s="7">
        <v>0</v>
      </c>
      <c r="D27" s="7">
        <v>0</v>
      </c>
    </row>
    <row r="28" spans="1:6" x14ac:dyDescent="0.25">
      <c r="A28" s="5" t="s">
        <v>30</v>
      </c>
      <c r="B28" s="7">
        <v>850</v>
      </c>
      <c r="C28" s="7">
        <v>100</v>
      </c>
      <c r="D28" s="7">
        <v>200</v>
      </c>
    </row>
    <row r="29" spans="1:6" x14ac:dyDescent="0.25">
      <c r="A29" s="5" t="s">
        <v>31</v>
      </c>
      <c r="B29" s="7">
        <v>200</v>
      </c>
      <c r="C29" s="7">
        <v>700</v>
      </c>
      <c r="D29" s="7">
        <v>200</v>
      </c>
    </row>
    <row r="30" spans="1:6" x14ac:dyDescent="0.25">
      <c r="A30" s="5" t="s">
        <v>32</v>
      </c>
      <c r="B30" s="7">
        <v>50</v>
      </c>
      <c r="C30" s="7">
        <v>70</v>
      </c>
      <c r="D30" s="7">
        <v>75</v>
      </c>
    </row>
    <row r="31" spans="1:6" ht="15.6" x14ac:dyDescent="0.3">
      <c r="A31" s="5" t="s">
        <v>33</v>
      </c>
      <c r="B31" s="7">
        <v>100</v>
      </c>
      <c r="C31" s="7">
        <v>0</v>
      </c>
      <c r="D31" s="7">
        <v>0</v>
      </c>
      <c r="F31" s="4"/>
    </row>
    <row r="32" spans="1:6" ht="16.2" thickBot="1" x14ac:dyDescent="0.35">
      <c r="A32" s="5" t="s">
        <v>34</v>
      </c>
      <c r="B32" s="8">
        <v>0</v>
      </c>
      <c r="C32" s="8">
        <v>5300</v>
      </c>
      <c r="D32" s="8">
        <v>400</v>
      </c>
      <c r="F32" s="4"/>
    </row>
    <row r="33" spans="1:5" s="3" customFormat="1" ht="15.6" x14ac:dyDescent="0.3">
      <c r="A33" s="3" t="s">
        <v>18</v>
      </c>
      <c r="B33" s="38">
        <f>SUM(B25:B32)</f>
        <v>4932</v>
      </c>
      <c r="C33" s="38">
        <f>SUM(C25:C32)</f>
        <v>9070</v>
      </c>
      <c r="D33" s="38">
        <f>SUM(D25:D32)</f>
        <v>3275</v>
      </c>
    </row>
    <row r="34" spans="1:5" x14ac:dyDescent="0.25">
      <c r="D34" s="7"/>
    </row>
    <row r="35" spans="1:5" ht="15.6" x14ac:dyDescent="0.3">
      <c r="A35" s="3" t="s">
        <v>35</v>
      </c>
      <c r="D35" s="7"/>
    </row>
    <row r="36" spans="1:5" x14ac:dyDescent="0.25">
      <c r="A36" s="5" t="s">
        <v>10</v>
      </c>
      <c r="B36" s="7">
        <v>3400</v>
      </c>
      <c r="C36" s="7">
        <v>3000</v>
      </c>
      <c r="D36" s="7">
        <f>200*12</f>
        <v>2400</v>
      </c>
    </row>
    <row r="37" spans="1:5" x14ac:dyDescent="0.25">
      <c r="A37" s="5" t="s">
        <v>36</v>
      </c>
      <c r="B37" s="7">
        <v>200</v>
      </c>
      <c r="C37" s="7">
        <v>200</v>
      </c>
      <c r="D37" s="7">
        <v>200</v>
      </c>
    </row>
    <row r="38" spans="1:5" x14ac:dyDescent="0.25">
      <c r="A38" s="5" t="s">
        <v>37</v>
      </c>
      <c r="B38" s="7">
        <v>1800</v>
      </c>
      <c r="C38" s="7">
        <v>2100</v>
      </c>
      <c r="D38" s="7">
        <f>175*12</f>
        <v>2100</v>
      </c>
    </row>
    <row r="39" spans="1:5" x14ac:dyDescent="0.25">
      <c r="A39" s="5" t="s">
        <v>41</v>
      </c>
      <c r="B39" s="7">
        <v>1748</v>
      </c>
      <c r="C39" s="7">
        <v>2500</v>
      </c>
      <c r="D39" s="7">
        <f>150*12</f>
        <v>1800</v>
      </c>
    </row>
    <row r="40" spans="1:5" ht="15.6" thickBot="1" x14ac:dyDescent="0.3">
      <c r="A40" s="5" t="s">
        <v>11</v>
      </c>
      <c r="B40" s="8">
        <v>500</v>
      </c>
      <c r="C40" s="8">
        <v>0</v>
      </c>
      <c r="D40" s="8">
        <v>100</v>
      </c>
    </row>
    <row r="41" spans="1:5" ht="15.6" x14ac:dyDescent="0.3">
      <c r="A41" s="3" t="s">
        <v>38</v>
      </c>
      <c r="B41" s="38">
        <f>SUM(B36:B40)</f>
        <v>7648</v>
      </c>
      <c r="C41" s="38">
        <f>SUM(C36:C40)</f>
        <v>7800</v>
      </c>
      <c r="D41" s="38">
        <f>SUM(D36:D40)</f>
        <v>6600</v>
      </c>
    </row>
    <row r="42" spans="1:5" x14ac:dyDescent="0.25">
      <c r="D42" s="7"/>
    </row>
    <row r="43" spans="1:5" ht="15.6" x14ac:dyDescent="0.3">
      <c r="A43" s="1" t="s">
        <v>13</v>
      </c>
      <c r="D43" s="7"/>
    </row>
    <row r="44" spans="1:5" x14ac:dyDescent="0.25">
      <c r="A44" s="2" t="s">
        <v>14</v>
      </c>
      <c r="B44" s="7">
        <v>6000</v>
      </c>
      <c r="C44" s="7">
        <v>6100</v>
      </c>
      <c r="D44" s="7">
        <v>6100</v>
      </c>
      <c r="E44" s="2" t="s">
        <v>81</v>
      </c>
    </row>
    <row r="45" spans="1:5" x14ac:dyDescent="0.25">
      <c r="A45" s="5" t="s">
        <v>26</v>
      </c>
      <c r="B45" s="7">
        <v>2800</v>
      </c>
      <c r="C45" s="7">
        <v>1200</v>
      </c>
      <c r="D45" s="7">
        <v>1200</v>
      </c>
    </row>
    <row r="46" spans="1:5" x14ac:dyDescent="0.25">
      <c r="A46" s="5" t="s">
        <v>25</v>
      </c>
      <c r="B46" s="7">
        <v>5800</v>
      </c>
      <c r="C46" s="7">
        <v>7400</v>
      </c>
      <c r="D46" s="7">
        <v>6200</v>
      </c>
      <c r="E46" s="2" t="s">
        <v>81</v>
      </c>
    </row>
    <row r="47" spans="1:5" ht="15.6" thickBot="1" x14ac:dyDescent="0.3">
      <c r="A47" s="2" t="s">
        <v>15</v>
      </c>
      <c r="B47" s="8">
        <v>1390</v>
      </c>
      <c r="C47" s="8">
        <v>1700</v>
      </c>
      <c r="D47" s="8">
        <v>1700</v>
      </c>
    </row>
    <row r="48" spans="1:5" s="3" customFormat="1" ht="15.6" x14ac:dyDescent="0.3">
      <c r="A48" s="3" t="s">
        <v>16</v>
      </c>
      <c r="B48" s="38">
        <f>SUM(B44:B47)</f>
        <v>15990</v>
      </c>
      <c r="C48" s="38">
        <f>SUM(C44:C47)</f>
        <v>16400</v>
      </c>
      <c r="D48" s="38">
        <f>SUM(D44:D47)</f>
        <v>15200</v>
      </c>
    </row>
    <row r="49" spans="1:4" ht="15.6" thickBot="1" x14ac:dyDescent="0.3">
      <c r="B49" s="9"/>
      <c r="C49" s="9"/>
      <c r="D49" s="9"/>
    </row>
    <row r="50" spans="1:4" s="3" customFormat="1" ht="16.2" thickTop="1" x14ac:dyDescent="0.3">
      <c r="A50" s="3" t="s">
        <v>17</v>
      </c>
      <c r="B50" s="38">
        <f>SUM(B20+B22+B33+B41+B48)</f>
        <v>53260</v>
      </c>
      <c r="C50" s="38">
        <f>SUM(C20+C22+C33+C41+C48)</f>
        <v>59179</v>
      </c>
      <c r="D50" s="38">
        <f>SUM(D20+D22+D33+D41+D48)</f>
        <v>51155</v>
      </c>
    </row>
    <row r="51" spans="1:4" ht="15.6" thickBot="1" x14ac:dyDescent="0.3"/>
    <row r="52" spans="1:4" ht="16.2" thickBot="1" x14ac:dyDescent="0.35">
      <c r="A52" s="84" t="s">
        <v>42</v>
      </c>
      <c r="B52" s="85"/>
      <c r="C52" s="86"/>
    </row>
    <row r="53" spans="1:4" x14ac:dyDescent="0.25">
      <c r="A53" s="5" t="s">
        <v>40</v>
      </c>
    </row>
  </sheetData>
  <mergeCells count="2">
    <mergeCell ref="A52:C52"/>
    <mergeCell ref="A1:D2"/>
  </mergeCells>
  <pageMargins left="0.75" right="0.75" top="0.52" bottom="0.35" header="0.5" footer="0.5"/>
  <pageSetup scale="8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9"/>
  <sheetViews>
    <sheetView zoomScaleNormal="100" workbookViewId="0">
      <selection activeCell="B5" sqref="B5"/>
    </sheetView>
  </sheetViews>
  <sheetFormatPr defaultColWidth="8.77734375" defaultRowHeight="13.2" x14ac:dyDescent="0.25"/>
  <cols>
    <col min="1" max="1" width="23" customWidth="1"/>
    <col min="2" max="2" width="18.44140625" customWidth="1"/>
    <col min="3" max="3" width="26.21875" customWidth="1"/>
    <col min="4" max="4" width="19.44140625" customWidth="1"/>
    <col min="5" max="5" width="18.5546875" customWidth="1"/>
    <col min="6" max="6" width="15.21875" customWidth="1"/>
    <col min="7" max="7" width="9.44140625" bestFit="1" customWidth="1"/>
    <col min="8" max="8" width="12.44140625" bestFit="1" customWidth="1"/>
    <col min="9" max="9" width="13.44140625" bestFit="1" customWidth="1"/>
  </cols>
  <sheetData>
    <row r="1" spans="1:9" ht="13.8" thickBot="1" x14ac:dyDescent="0.3"/>
    <row r="2" spans="1:9" ht="37.5" customHeight="1" thickTop="1" thickBot="1" x14ac:dyDescent="0.35">
      <c r="A2" s="76" t="s">
        <v>43</v>
      </c>
      <c r="B2" s="77"/>
      <c r="C2" s="77"/>
      <c r="D2" s="77"/>
      <c r="E2" s="77"/>
      <c r="F2" s="78"/>
      <c r="G2" s="3"/>
    </row>
    <row r="3" spans="1:9" ht="78" x14ac:dyDescent="0.3">
      <c r="A3" s="21" t="s">
        <v>44</v>
      </c>
      <c r="B3" s="18" t="s">
        <v>70</v>
      </c>
      <c r="C3" s="18" t="s">
        <v>60</v>
      </c>
      <c r="D3" s="19" t="s">
        <v>45</v>
      </c>
      <c r="E3" s="18" t="s">
        <v>61</v>
      </c>
      <c r="F3" s="22" t="s">
        <v>46</v>
      </c>
    </row>
    <row r="4" spans="1:9" ht="15" x14ac:dyDescent="0.25">
      <c r="A4" s="23" t="s">
        <v>56</v>
      </c>
      <c r="B4" s="20">
        <v>1000</v>
      </c>
      <c r="C4" s="20">
        <f>SUM(I16/4/12)</f>
        <v>580.51559529803251</v>
      </c>
      <c r="D4" s="20">
        <f>SUM(B4+C4)</f>
        <v>1580.5155952980326</v>
      </c>
      <c r="E4" s="20">
        <f>SUM(H16/4/12)</f>
        <v>290.25779764901625</v>
      </c>
      <c r="F4" s="24">
        <f>SUM(B4+E4)</f>
        <v>1290.2577976490163</v>
      </c>
    </row>
    <row r="5" spans="1:9" ht="16.2" thickBot="1" x14ac:dyDescent="0.35">
      <c r="A5" s="25" t="s">
        <v>47</v>
      </c>
      <c r="B5" s="26">
        <f>B4*12*4</f>
        <v>48000</v>
      </c>
      <c r="C5" s="26">
        <f>SUM(C4*12*4)</f>
        <v>27864.748574305559</v>
      </c>
      <c r="D5" s="26">
        <f>SUM(D4*12*4)</f>
        <v>75864.748574305559</v>
      </c>
      <c r="E5" s="26">
        <f>SUM(E4*12*4)</f>
        <v>13932.374287152779</v>
      </c>
      <c r="F5" s="27">
        <f>SUM(F4*4*12)</f>
        <v>61932.374287152779</v>
      </c>
    </row>
    <row r="6" spans="1:9" ht="13.8" thickTop="1" x14ac:dyDescent="0.25"/>
    <row r="7" spans="1:9" ht="13.8" thickBot="1" x14ac:dyDescent="0.3"/>
    <row r="8" spans="1:9" ht="16.2" thickTop="1" x14ac:dyDescent="0.3">
      <c r="A8" s="89" t="s">
        <v>83</v>
      </c>
      <c r="B8" s="80"/>
      <c r="C8" s="80"/>
      <c r="D8" s="80"/>
      <c r="E8" s="80"/>
      <c r="F8" s="80"/>
      <c r="G8" s="80"/>
      <c r="H8" s="80"/>
      <c r="I8" s="81"/>
    </row>
    <row r="9" spans="1:9" ht="38.25" customHeight="1" x14ac:dyDescent="0.25">
      <c r="A9" s="28" t="s">
        <v>51</v>
      </c>
      <c r="B9" s="15" t="s">
        <v>62</v>
      </c>
      <c r="C9" s="15" t="s">
        <v>63</v>
      </c>
      <c r="D9" s="16" t="s">
        <v>64</v>
      </c>
      <c r="E9" s="15" t="s">
        <v>82</v>
      </c>
      <c r="F9" s="15" t="s">
        <v>68</v>
      </c>
      <c r="G9" s="15" t="s">
        <v>65</v>
      </c>
      <c r="H9" s="17" t="s">
        <v>85</v>
      </c>
      <c r="I9" s="29" t="s">
        <v>86</v>
      </c>
    </row>
    <row r="10" spans="1:9" x14ac:dyDescent="0.25">
      <c r="A10" s="30" t="s">
        <v>29</v>
      </c>
      <c r="B10" s="12">
        <v>8</v>
      </c>
      <c r="C10" s="13">
        <v>15000</v>
      </c>
      <c r="D10" s="11">
        <v>0.2</v>
      </c>
      <c r="E10" s="13">
        <v>1180.2865999999999</v>
      </c>
      <c r="F10" s="12">
        <v>3</v>
      </c>
      <c r="G10" s="13">
        <f>SUM(C10-E10)</f>
        <v>13819.713400000001</v>
      </c>
      <c r="H10" s="14">
        <f>SUM(I10*0.5)</f>
        <v>2303.2855666666669</v>
      </c>
      <c r="I10" s="31">
        <f>SUM(G10/F10)</f>
        <v>4606.5711333333338</v>
      </c>
    </row>
    <row r="11" spans="1:9" x14ac:dyDescent="0.25">
      <c r="A11" s="30" t="s">
        <v>48</v>
      </c>
      <c r="B11" s="12">
        <v>20</v>
      </c>
      <c r="C11" s="13">
        <v>40000</v>
      </c>
      <c r="D11" s="11">
        <v>0.05</v>
      </c>
      <c r="E11" s="13">
        <v>252</v>
      </c>
      <c r="F11" s="12">
        <v>18</v>
      </c>
      <c r="G11" s="13">
        <f>SUM(C11-E11)</f>
        <v>39748</v>
      </c>
      <c r="H11" s="14">
        <f>SUM(I11*0.5)</f>
        <v>1104.1111111111111</v>
      </c>
      <c r="I11" s="31">
        <f>SUM(G11/F11)</f>
        <v>2208.2222222222222</v>
      </c>
    </row>
    <row r="12" spans="1:9" x14ac:dyDescent="0.25">
      <c r="A12" s="30" t="s">
        <v>54</v>
      </c>
      <c r="B12" s="12">
        <v>8</v>
      </c>
      <c r="C12" s="13">
        <v>10000</v>
      </c>
      <c r="D12" s="11">
        <v>0.1</v>
      </c>
      <c r="E12" s="13">
        <v>0</v>
      </c>
      <c r="F12" s="12">
        <v>5</v>
      </c>
      <c r="G12" s="13">
        <f t="shared" ref="G12:G15" si="0">SUM(C12-E12)</f>
        <v>10000</v>
      </c>
      <c r="H12" s="14">
        <f t="shared" ref="H12:H15" si="1">SUM(I12*0.5)</f>
        <v>1000</v>
      </c>
      <c r="I12" s="31">
        <f t="shared" ref="I12:I15" si="2">SUM(G12/F12)</f>
        <v>2000</v>
      </c>
    </row>
    <row r="13" spans="1:9" x14ac:dyDescent="0.25">
      <c r="A13" s="30" t="s">
        <v>55</v>
      </c>
      <c r="B13" s="12">
        <v>50</v>
      </c>
      <c r="C13" s="13">
        <v>60000</v>
      </c>
      <c r="D13" s="11">
        <v>0.2</v>
      </c>
      <c r="E13" s="13">
        <v>0</v>
      </c>
      <c r="F13" s="12">
        <v>48</v>
      </c>
      <c r="G13" s="13">
        <f t="shared" si="0"/>
        <v>60000</v>
      </c>
      <c r="H13" s="14">
        <f t="shared" si="1"/>
        <v>625</v>
      </c>
      <c r="I13" s="31">
        <f t="shared" si="2"/>
        <v>1250</v>
      </c>
    </row>
    <row r="14" spans="1:9" x14ac:dyDescent="0.25">
      <c r="A14" s="30" t="s">
        <v>49</v>
      </c>
      <c r="B14" s="12">
        <v>20</v>
      </c>
      <c r="C14" s="13">
        <v>100000</v>
      </c>
      <c r="D14" s="11">
        <v>0.4</v>
      </c>
      <c r="E14" s="13">
        <v>0</v>
      </c>
      <c r="F14" s="12">
        <v>8</v>
      </c>
      <c r="G14" s="13">
        <f t="shared" si="0"/>
        <v>100000</v>
      </c>
      <c r="H14" s="14">
        <f t="shared" si="1"/>
        <v>6250</v>
      </c>
      <c r="I14" s="31">
        <f t="shared" si="2"/>
        <v>12500</v>
      </c>
    </row>
    <row r="15" spans="1:9" x14ac:dyDescent="0.25">
      <c r="A15" s="30" t="s">
        <v>52</v>
      </c>
      <c r="B15" s="12">
        <v>7</v>
      </c>
      <c r="C15" s="13">
        <v>12000</v>
      </c>
      <c r="D15" s="11">
        <v>0.05</v>
      </c>
      <c r="E15" s="13">
        <v>1400.0895625000001</v>
      </c>
      <c r="F15" s="12">
        <v>2</v>
      </c>
      <c r="G15" s="13">
        <f t="shared" si="0"/>
        <v>10599.910437500001</v>
      </c>
      <c r="H15" s="14">
        <f t="shared" si="1"/>
        <v>2649.9776093750002</v>
      </c>
      <c r="I15" s="31">
        <f t="shared" si="2"/>
        <v>5299.9552187500003</v>
      </c>
    </row>
    <row r="16" spans="1:9" ht="13.8" thickBot="1" x14ac:dyDescent="0.3">
      <c r="A16" s="32" t="s">
        <v>53</v>
      </c>
      <c r="B16" s="33"/>
      <c r="C16" s="34">
        <f>SUM(C10:C15)</f>
        <v>237000</v>
      </c>
      <c r="D16" s="35">
        <f>SUM(D10:D15)</f>
        <v>1</v>
      </c>
      <c r="E16" s="34">
        <v>9408.8116921428573</v>
      </c>
      <c r="F16" s="34"/>
      <c r="G16" s="34">
        <f>SUM(G10:G15)</f>
        <v>234167.6238375</v>
      </c>
      <c r="H16" s="36">
        <f>SUM(H10:H15)</f>
        <v>13932.374287152779</v>
      </c>
      <c r="I16" s="37">
        <f>SUM(I10:I15)</f>
        <v>27864.748574305559</v>
      </c>
    </row>
    <row r="17" spans="1:9" ht="14.4" thickTop="1" thickBot="1" x14ac:dyDescent="0.3"/>
    <row r="18" spans="1:9" ht="12.75" customHeight="1" x14ac:dyDescent="0.25">
      <c r="A18" s="90" t="s">
        <v>71</v>
      </c>
      <c r="B18" s="91"/>
      <c r="C18" s="91"/>
      <c r="D18" s="91"/>
      <c r="E18" s="91"/>
      <c r="F18" s="91"/>
      <c r="G18" s="91"/>
      <c r="H18" s="91"/>
      <c r="I18" s="92"/>
    </row>
    <row r="19" spans="1:9" ht="13.8" thickBot="1" x14ac:dyDescent="0.3">
      <c r="A19" s="93"/>
      <c r="B19" s="94"/>
      <c r="C19" s="94"/>
      <c r="D19" s="94"/>
      <c r="E19" s="94"/>
      <c r="F19" s="94"/>
      <c r="G19" s="94"/>
      <c r="H19" s="94"/>
      <c r="I19" s="95"/>
    </row>
  </sheetData>
  <mergeCells count="3">
    <mergeCell ref="A2:F2"/>
    <mergeCell ref="A8:I8"/>
    <mergeCell ref="A18:I19"/>
  </mergeCells>
  <pageMargins left="0.2" right="0.23" top="1" bottom="0.52" header="0.5" footer="0.5"/>
  <pageSetup scale="76" orientation="landscape" r:id="rId1"/>
  <headerFooter alignWithMargins="0">
    <oddHeader>&amp;C&amp;"Arial,Bold"&amp;12Oakland Arms Condominium Association, Inc.
Reserves 2016</oddHeader>
    <oddFooter>&amp;L&amp;T&amp;D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4"/>
  <sheetViews>
    <sheetView topLeftCell="A7" zoomScaleNormal="100" workbookViewId="0">
      <selection activeCell="B25" sqref="B25"/>
    </sheetView>
  </sheetViews>
  <sheetFormatPr defaultColWidth="9.21875" defaultRowHeight="15" x14ac:dyDescent="0.25"/>
  <cols>
    <col min="1" max="1" width="39.5546875" style="2" bestFit="1" customWidth="1"/>
    <col min="2" max="2" width="25.21875" style="7" customWidth="1"/>
    <col min="3" max="3" width="21.44140625" style="7" customWidth="1"/>
    <col min="4" max="4" width="20.77734375" style="2" bestFit="1" customWidth="1"/>
    <col min="5" max="16384" width="9.21875" style="2"/>
  </cols>
  <sheetData>
    <row r="1" spans="1:5" ht="15" customHeight="1" x14ac:dyDescent="0.25">
      <c r="A1" s="96" t="s">
        <v>84</v>
      </c>
      <c r="B1" s="96"/>
      <c r="C1" s="96"/>
      <c r="D1" s="96"/>
    </row>
    <row r="2" spans="1:5" ht="15" customHeight="1" x14ac:dyDescent="0.25">
      <c r="A2" s="96"/>
      <c r="B2" s="96"/>
      <c r="C2" s="96"/>
      <c r="D2" s="96"/>
    </row>
    <row r="4" spans="1:5" ht="31.2" x14ac:dyDescent="0.3">
      <c r="B4" s="41" t="s">
        <v>87</v>
      </c>
      <c r="C4" s="41" t="s">
        <v>80</v>
      </c>
      <c r="D4" s="41" t="s">
        <v>87</v>
      </c>
    </row>
    <row r="5" spans="1:5" ht="15.6" x14ac:dyDescent="0.3">
      <c r="B5" s="40">
        <v>2015</v>
      </c>
      <c r="C5" s="40">
        <v>2015</v>
      </c>
      <c r="D5" s="40">
        <v>2016</v>
      </c>
    </row>
    <row r="6" spans="1:5" ht="15.6" x14ac:dyDescent="0.3">
      <c r="A6" s="1" t="s">
        <v>0</v>
      </c>
      <c r="D6" s="7"/>
    </row>
    <row r="7" spans="1:5" x14ac:dyDescent="0.25">
      <c r="A7" s="5" t="s">
        <v>57</v>
      </c>
      <c r="B7" s="7">
        <v>2100</v>
      </c>
      <c r="C7" s="7">
        <v>1800</v>
      </c>
      <c r="D7" s="7">
        <v>1800</v>
      </c>
      <c r="E7" s="2">
        <f>SUM(D7/12)</f>
        <v>150</v>
      </c>
    </row>
    <row r="8" spans="1:5" x14ac:dyDescent="0.25">
      <c r="A8" s="5" t="s">
        <v>21</v>
      </c>
      <c r="B8" s="7">
        <v>5</v>
      </c>
      <c r="C8" s="7">
        <v>3</v>
      </c>
      <c r="D8" s="7">
        <v>5</v>
      </c>
      <c r="E8" s="2">
        <v>0.4</v>
      </c>
    </row>
    <row r="9" spans="1:5" x14ac:dyDescent="0.25">
      <c r="A9" s="5" t="s">
        <v>22</v>
      </c>
      <c r="B9" s="7">
        <v>50</v>
      </c>
      <c r="C9" s="7">
        <v>0</v>
      </c>
      <c r="D9" s="7">
        <v>0</v>
      </c>
      <c r="E9" s="2">
        <f t="shared" ref="E9:E51" si="0">SUM(D9/12)</f>
        <v>0</v>
      </c>
    </row>
    <row r="10" spans="1:5" x14ac:dyDescent="0.25">
      <c r="A10" s="5" t="s">
        <v>23</v>
      </c>
      <c r="B10" s="7">
        <v>1000</v>
      </c>
      <c r="C10" s="7">
        <v>1000</v>
      </c>
      <c r="D10" s="7">
        <v>1000</v>
      </c>
      <c r="E10" s="2">
        <f t="shared" si="0"/>
        <v>83.333333333333329</v>
      </c>
    </row>
    <row r="11" spans="1:5" ht="15.6" thickBot="1" x14ac:dyDescent="0.3">
      <c r="A11" s="5" t="s">
        <v>72</v>
      </c>
      <c r="B11" s="8">
        <v>48000</v>
      </c>
      <c r="C11" s="8">
        <v>48000</v>
      </c>
      <c r="D11" s="8">
        <v>48000</v>
      </c>
      <c r="E11" s="2">
        <f t="shared" si="0"/>
        <v>4000</v>
      </c>
    </row>
    <row r="12" spans="1:5" s="3" customFormat="1" ht="15.6" x14ac:dyDescent="0.3">
      <c r="A12" s="3" t="s">
        <v>3</v>
      </c>
      <c r="B12" s="38">
        <f>SUM(B7:B11)</f>
        <v>51155</v>
      </c>
      <c r="C12" s="38">
        <f>SUM(C7:C11)</f>
        <v>50803</v>
      </c>
      <c r="D12" s="38">
        <f>SUM(D7:D11)</f>
        <v>50805</v>
      </c>
      <c r="E12" s="3">
        <f t="shared" si="0"/>
        <v>4233.75</v>
      </c>
    </row>
    <row r="13" spans="1:5" ht="15.6" x14ac:dyDescent="0.3">
      <c r="A13" s="1" t="s">
        <v>4</v>
      </c>
      <c r="D13" s="7"/>
      <c r="E13" s="2">
        <f t="shared" si="0"/>
        <v>0</v>
      </c>
    </row>
    <row r="14" spans="1:5" ht="15.6" x14ac:dyDescent="0.3">
      <c r="A14" s="1" t="s">
        <v>5</v>
      </c>
      <c r="D14" s="7"/>
      <c r="E14" s="2">
        <f t="shared" si="0"/>
        <v>0</v>
      </c>
    </row>
    <row r="15" spans="1:5" x14ac:dyDescent="0.25">
      <c r="A15" s="5" t="s">
        <v>24</v>
      </c>
      <c r="B15" s="7">
        <v>1930</v>
      </c>
      <c r="C15" s="7">
        <v>1930</v>
      </c>
      <c r="D15" s="7">
        <v>1930</v>
      </c>
      <c r="E15" s="42">
        <f t="shared" si="0"/>
        <v>160.83333333333334</v>
      </c>
    </row>
    <row r="16" spans="1:5" x14ac:dyDescent="0.25">
      <c r="A16" s="5" t="s">
        <v>6</v>
      </c>
      <c r="B16" s="7">
        <v>20</v>
      </c>
      <c r="C16" s="7">
        <v>150</v>
      </c>
      <c r="D16" s="7">
        <v>20</v>
      </c>
      <c r="E16" s="42">
        <f t="shared" si="0"/>
        <v>1.6666666666666667</v>
      </c>
    </row>
    <row r="17" spans="1:6" x14ac:dyDescent="0.25">
      <c r="A17" s="2" t="s">
        <v>89</v>
      </c>
      <c r="B17" s="7">
        <v>0</v>
      </c>
      <c r="D17" s="7"/>
      <c r="E17" s="42"/>
    </row>
    <row r="18" spans="1:6" x14ac:dyDescent="0.25">
      <c r="A18" s="2" t="s">
        <v>12</v>
      </c>
      <c r="B18" s="7">
        <v>400</v>
      </c>
      <c r="C18" s="7">
        <v>350</v>
      </c>
      <c r="D18" s="7">
        <v>400</v>
      </c>
      <c r="E18" s="42">
        <f t="shared" si="0"/>
        <v>33.333333333333336</v>
      </c>
    </row>
    <row r="19" spans="1:6" x14ac:dyDescent="0.25">
      <c r="A19" s="2" t="s">
        <v>7</v>
      </c>
      <c r="B19" s="7">
        <v>62</v>
      </c>
      <c r="C19" s="7">
        <v>62</v>
      </c>
      <c r="D19" s="7">
        <v>62</v>
      </c>
      <c r="E19" s="42">
        <f t="shared" si="0"/>
        <v>5.166666666666667</v>
      </c>
    </row>
    <row r="20" spans="1:6" ht="15.6" thickBot="1" x14ac:dyDescent="0.3">
      <c r="A20" s="5" t="s">
        <v>39</v>
      </c>
      <c r="B20" s="8">
        <v>2400</v>
      </c>
      <c r="C20" s="8">
        <v>2400</v>
      </c>
      <c r="D20" s="8">
        <v>2400</v>
      </c>
      <c r="E20" s="42">
        <f t="shared" si="0"/>
        <v>200</v>
      </c>
    </row>
    <row r="21" spans="1:6" s="3" customFormat="1" ht="15.6" x14ac:dyDescent="0.3">
      <c r="A21" s="3" t="s">
        <v>19</v>
      </c>
      <c r="B21" s="38">
        <f>SUM(B15:B20)</f>
        <v>4812</v>
      </c>
      <c r="C21" s="38">
        <f>SUM(C15:C20)</f>
        <v>4892</v>
      </c>
      <c r="D21" s="38">
        <f>SUM(D15:D20)</f>
        <v>4812</v>
      </c>
      <c r="E21" s="3">
        <f t="shared" si="0"/>
        <v>401</v>
      </c>
    </row>
    <row r="22" spans="1:6" x14ac:dyDescent="0.25">
      <c r="D22" s="7"/>
      <c r="E22" s="2">
        <f t="shared" si="0"/>
        <v>0</v>
      </c>
    </row>
    <row r="23" spans="1:6" s="3" customFormat="1" ht="15.6" x14ac:dyDescent="0.3">
      <c r="A23" s="3" t="s">
        <v>8</v>
      </c>
      <c r="B23" s="6">
        <v>21268</v>
      </c>
      <c r="C23" s="6">
        <v>22000</v>
      </c>
      <c r="D23" s="6">
        <v>17218</v>
      </c>
      <c r="E23" s="1">
        <f t="shared" si="0"/>
        <v>1434.8333333333333</v>
      </c>
    </row>
    <row r="24" spans="1:6" x14ac:dyDescent="0.25">
      <c r="D24" s="7"/>
      <c r="E24" s="2">
        <f t="shared" si="0"/>
        <v>0</v>
      </c>
    </row>
    <row r="25" spans="1:6" ht="15.6" x14ac:dyDescent="0.3">
      <c r="A25" s="1" t="s">
        <v>9</v>
      </c>
      <c r="D25" s="7"/>
      <c r="E25" s="2">
        <f t="shared" si="0"/>
        <v>0</v>
      </c>
    </row>
    <row r="26" spans="1:6" x14ac:dyDescent="0.25">
      <c r="A26" s="5" t="s">
        <v>27</v>
      </c>
      <c r="B26" s="7">
        <v>1200</v>
      </c>
      <c r="C26" s="7">
        <v>500</v>
      </c>
      <c r="D26" s="7">
        <v>500</v>
      </c>
      <c r="E26" s="42">
        <f t="shared" si="0"/>
        <v>41.666666666666664</v>
      </c>
    </row>
    <row r="27" spans="1:6" x14ac:dyDescent="0.25">
      <c r="A27" s="5" t="s">
        <v>28</v>
      </c>
      <c r="B27" s="7">
        <v>1200</v>
      </c>
      <c r="C27" s="7">
        <v>3500</v>
      </c>
      <c r="D27" s="7">
        <v>2000</v>
      </c>
      <c r="E27" s="42">
        <f t="shared" si="0"/>
        <v>166.66666666666666</v>
      </c>
    </row>
    <row r="28" spans="1:6" x14ac:dyDescent="0.25">
      <c r="A28" s="5" t="s">
        <v>29</v>
      </c>
      <c r="B28" s="7">
        <v>0</v>
      </c>
      <c r="C28" s="7">
        <v>0</v>
      </c>
      <c r="D28" s="7">
        <v>0</v>
      </c>
      <c r="E28" s="2">
        <f t="shared" si="0"/>
        <v>0</v>
      </c>
    </row>
    <row r="29" spans="1:6" x14ac:dyDescent="0.25">
      <c r="A29" s="5" t="s">
        <v>30</v>
      </c>
      <c r="B29" s="7">
        <v>200</v>
      </c>
      <c r="C29" s="7">
        <v>6670</v>
      </c>
      <c r="D29" s="7">
        <v>200</v>
      </c>
      <c r="E29" s="42">
        <f t="shared" si="0"/>
        <v>16.666666666666668</v>
      </c>
    </row>
    <row r="30" spans="1:6" x14ac:dyDescent="0.25">
      <c r="A30" s="5" t="s">
        <v>31</v>
      </c>
      <c r="B30" s="7">
        <v>200</v>
      </c>
      <c r="C30" s="7">
        <v>700</v>
      </c>
      <c r="D30" s="7">
        <v>200</v>
      </c>
      <c r="E30" s="42">
        <f t="shared" si="0"/>
        <v>16.666666666666668</v>
      </c>
    </row>
    <row r="31" spans="1:6" x14ac:dyDescent="0.25">
      <c r="A31" s="5" t="s">
        <v>32</v>
      </c>
      <c r="B31" s="7">
        <v>75</v>
      </c>
      <c r="C31" s="7">
        <v>0</v>
      </c>
      <c r="D31" s="7">
        <v>75</v>
      </c>
      <c r="E31" s="42">
        <f t="shared" si="0"/>
        <v>6.25</v>
      </c>
    </row>
    <row r="32" spans="1:6" ht="15.6" x14ac:dyDescent="0.3">
      <c r="A32" s="5" t="s">
        <v>33</v>
      </c>
      <c r="B32" s="7">
        <v>0</v>
      </c>
      <c r="C32" s="7">
        <v>0</v>
      </c>
      <c r="D32" s="7">
        <v>0</v>
      </c>
      <c r="E32" s="42">
        <f t="shared" si="0"/>
        <v>0</v>
      </c>
      <c r="F32" s="4"/>
    </row>
    <row r="33" spans="1:6" ht="16.2" thickBot="1" x14ac:dyDescent="0.35">
      <c r="A33" s="5" t="s">
        <v>34</v>
      </c>
      <c r="B33" s="8">
        <v>400</v>
      </c>
      <c r="C33" s="8">
        <v>0</v>
      </c>
      <c r="D33" s="8">
        <v>400</v>
      </c>
      <c r="E33" s="42">
        <f t="shared" si="0"/>
        <v>33.333333333333336</v>
      </c>
      <c r="F33" s="4"/>
    </row>
    <row r="34" spans="1:6" s="3" customFormat="1" ht="15.6" x14ac:dyDescent="0.3">
      <c r="A34" s="3" t="s">
        <v>18</v>
      </c>
      <c r="B34" s="38">
        <f>SUM(B26:B33)</f>
        <v>3275</v>
      </c>
      <c r="C34" s="38">
        <f>SUM(C26:C33)</f>
        <v>11370</v>
      </c>
      <c r="D34" s="38">
        <f>SUM(D26:D33)</f>
        <v>3375</v>
      </c>
      <c r="E34" s="3">
        <f t="shared" si="0"/>
        <v>281.25</v>
      </c>
    </row>
    <row r="35" spans="1:6" x14ac:dyDescent="0.25">
      <c r="D35" s="7"/>
      <c r="E35" s="2">
        <f t="shared" si="0"/>
        <v>0</v>
      </c>
    </row>
    <row r="36" spans="1:6" ht="15.6" x14ac:dyDescent="0.3">
      <c r="A36" s="3" t="s">
        <v>35</v>
      </c>
      <c r="D36" s="7"/>
      <c r="E36" s="2">
        <f t="shared" si="0"/>
        <v>0</v>
      </c>
    </row>
    <row r="37" spans="1:6" x14ac:dyDescent="0.25">
      <c r="A37" s="5" t="s">
        <v>10</v>
      </c>
      <c r="B37" s="7">
        <f>200*12</f>
        <v>2400</v>
      </c>
      <c r="C37" s="7">
        <v>4340</v>
      </c>
      <c r="D37" s="7">
        <f>200*12</f>
        <v>2400</v>
      </c>
      <c r="E37" s="42">
        <f t="shared" si="0"/>
        <v>200</v>
      </c>
    </row>
    <row r="38" spans="1:6" x14ac:dyDescent="0.25">
      <c r="A38" s="5" t="s">
        <v>36</v>
      </c>
      <c r="B38" s="7">
        <v>200</v>
      </c>
      <c r="C38" s="7">
        <v>0</v>
      </c>
      <c r="D38" s="7">
        <v>200</v>
      </c>
      <c r="E38" s="42">
        <f t="shared" si="0"/>
        <v>16.666666666666668</v>
      </c>
    </row>
    <row r="39" spans="1:6" x14ac:dyDescent="0.25">
      <c r="A39" s="5" t="s">
        <v>37</v>
      </c>
      <c r="B39" s="7">
        <f>175*12</f>
        <v>2100</v>
      </c>
      <c r="C39" s="7">
        <v>2100</v>
      </c>
      <c r="D39" s="7">
        <f>175*12</f>
        <v>2100</v>
      </c>
      <c r="E39" s="42">
        <f t="shared" si="0"/>
        <v>175</v>
      </c>
    </row>
    <row r="40" spans="1:6" x14ac:dyDescent="0.25">
      <c r="A40" s="5" t="s">
        <v>41</v>
      </c>
      <c r="B40" s="7">
        <f>150*12</f>
        <v>1800</v>
      </c>
      <c r="C40" s="7">
        <v>2100</v>
      </c>
      <c r="D40" s="7">
        <f>150*12</f>
        <v>1800</v>
      </c>
      <c r="E40" s="42">
        <f t="shared" si="0"/>
        <v>150</v>
      </c>
    </row>
    <row r="41" spans="1:6" ht="15.6" thickBot="1" x14ac:dyDescent="0.3">
      <c r="A41" s="5" t="s">
        <v>11</v>
      </c>
      <c r="B41" s="8">
        <v>100</v>
      </c>
      <c r="C41" s="8">
        <v>3500</v>
      </c>
      <c r="D41" s="8">
        <v>100</v>
      </c>
      <c r="E41" s="42">
        <f t="shared" si="0"/>
        <v>8.3333333333333339</v>
      </c>
    </row>
    <row r="42" spans="1:6" ht="15.6" x14ac:dyDescent="0.3">
      <c r="A42" s="3" t="s">
        <v>38</v>
      </c>
      <c r="B42" s="38">
        <f>SUM(B37:B41)</f>
        <v>6600</v>
      </c>
      <c r="C42" s="38">
        <f>SUM(C37:C41)</f>
        <v>12040</v>
      </c>
      <c r="D42" s="38">
        <f>SUM(D37:D41)</f>
        <v>6600</v>
      </c>
      <c r="E42" s="2">
        <f t="shared" si="0"/>
        <v>550</v>
      </c>
    </row>
    <row r="43" spans="1:6" x14ac:dyDescent="0.25">
      <c r="D43" s="7"/>
      <c r="E43" s="2">
        <f t="shared" si="0"/>
        <v>0</v>
      </c>
    </row>
    <row r="44" spans="1:6" ht="15.6" x14ac:dyDescent="0.3">
      <c r="A44" s="1" t="s">
        <v>13</v>
      </c>
      <c r="D44" s="7"/>
      <c r="E44" s="2">
        <f t="shared" si="0"/>
        <v>0</v>
      </c>
    </row>
    <row r="45" spans="1:6" x14ac:dyDescent="0.25">
      <c r="A45" s="2" t="s">
        <v>14</v>
      </c>
      <c r="B45" s="7">
        <v>6100</v>
      </c>
      <c r="C45" s="7">
        <v>7600</v>
      </c>
      <c r="D45" s="7">
        <v>7600</v>
      </c>
      <c r="E45" s="42">
        <f t="shared" si="0"/>
        <v>633.33333333333337</v>
      </c>
    </row>
    <row r="46" spans="1:6" x14ac:dyDescent="0.25">
      <c r="A46" s="5" t="s">
        <v>26</v>
      </c>
      <c r="B46" s="7">
        <v>1200</v>
      </c>
      <c r="C46" s="7">
        <v>800</v>
      </c>
      <c r="D46" s="7">
        <v>800</v>
      </c>
      <c r="E46" s="42">
        <f t="shared" si="0"/>
        <v>66.666666666666671</v>
      </c>
    </row>
    <row r="47" spans="1:6" x14ac:dyDescent="0.25">
      <c r="A47" s="5" t="s">
        <v>25</v>
      </c>
      <c r="B47" s="7">
        <v>6200</v>
      </c>
      <c r="C47" s="7">
        <v>8700</v>
      </c>
      <c r="D47" s="7">
        <v>8700</v>
      </c>
      <c r="E47" s="42">
        <f t="shared" si="0"/>
        <v>725</v>
      </c>
    </row>
    <row r="48" spans="1:6" ht="15.6" thickBot="1" x14ac:dyDescent="0.3">
      <c r="A48" s="2" t="s">
        <v>15</v>
      </c>
      <c r="B48" s="8">
        <v>1700</v>
      </c>
      <c r="C48" s="8">
        <v>1650</v>
      </c>
      <c r="D48" s="8">
        <v>1700</v>
      </c>
      <c r="E48" s="42">
        <f t="shared" si="0"/>
        <v>141.66666666666666</v>
      </c>
    </row>
    <row r="49" spans="1:5" s="3" customFormat="1" ht="15.6" x14ac:dyDescent="0.3">
      <c r="A49" s="3" t="s">
        <v>16</v>
      </c>
      <c r="B49" s="38">
        <f>SUM(B45:B48)</f>
        <v>15200</v>
      </c>
      <c r="C49" s="38">
        <f>SUM(C45:C48)</f>
        <v>18750</v>
      </c>
      <c r="D49" s="38">
        <f>SUM(D45:D48)</f>
        <v>18800</v>
      </c>
      <c r="E49" s="3">
        <f t="shared" si="0"/>
        <v>1566.6666666666667</v>
      </c>
    </row>
    <row r="50" spans="1:5" ht="15.6" thickBot="1" x14ac:dyDescent="0.3">
      <c r="B50" s="9"/>
      <c r="C50" s="9"/>
      <c r="D50" s="9"/>
      <c r="E50" s="2">
        <f t="shared" si="0"/>
        <v>0</v>
      </c>
    </row>
    <row r="51" spans="1:5" s="3" customFormat="1" ht="16.2" thickTop="1" x14ac:dyDescent="0.3">
      <c r="A51" s="3" t="s">
        <v>17</v>
      </c>
      <c r="B51" s="38">
        <f>SUM(B21+B23+B34+B42+B49)</f>
        <v>51155</v>
      </c>
      <c r="C51" s="38">
        <f>SUM(C21+C23+C34+C42+C49)</f>
        <v>69052</v>
      </c>
      <c r="D51" s="38">
        <f>SUM(D21+D23+D34+D42+D49)</f>
        <v>50805</v>
      </c>
      <c r="E51" s="3">
        <f t="shared" si="0"/>
        <v>4233.75</v>
      </c>
    </row>
    <row r="52" spans="1:5" ht="15.6" thickBot="1" x14ac:dyDescent="0.3"/>
    <row r="53" spans="1:5" ht="16.2" thickBot="1" x14ac:dyDescent="0.35">
      <c r="A53" s="97" t="s">
        <v>88</v>
      </c>
      <c r="B53" s="85"/>
      <c r="C53" s="86"/>
    </row>
    <row r="54" spans="1:5" x14ac:dyDescent="0.25">
      <c r="A54" s="5" t="s">
        <v>40</v>
      </c>
    </row>
  </sheetData>
  <mergeCells count="2">
    <mergeCell ref="A1:D2"/>
    <mergeCell ref="A53:C53"/>
  </mergeCells>
  <pageMargins left="0.75" right="0.75" top="0.52" bottom="0.35" header="0.5" footer="0.5"/>
  <pageSetup scale="8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4"/>
  <sheetViews>
    <sheetView zoomScaleNormal="100" workbookViewId="0">
      <selection activeCell="D24" sqref="D24"/>
    </sheetView>
  </sheetViews>
  <sheetFormatPr defaultColWidth="9.21875" defaultRowHeight="15" x14ac:dyDescent="0.25"/>
  <cols>
    <col min="1" max="1" width="39.5546875" style="2" customWidth="1"/>
    <col min="2" max="2" width="25.21875" style="7" customWidth="1"/>
    <col min="3" max="3" width="21.44140625" style="7" customWidth="1"/>
    <col min="4" max="4" width="20.77734375" style="2" customWidth="1"/>
    <col min="5" max="16384" width="9.21875" style="2"/>
  </cols>
  <sheetData>
    <row r="1" spans="1:5" ht="15" customHeight="1" x14ac:dyDescent="0.25">
      <c r="A1" s="96" t="s">
        <v>95</v>
      </c>
      <c r="B1" s="96"/>
      <c r="C1" s="96"/>
      <c r="D1" s="96"/>
    </row>
    <row r="2" spans="1:5" ht="15" customHeight="1" x14ac:dyDescent="0.25">
      <c r="A2" s="96"/>
      <c r="B2" s="96"/>
      <c r="C2" s="96"/>
      <c r="D2" s="96"/>
    </row>
    <row r="4" spans="1:5" ht="31.2" x14ac:dyDescent="0.3">
      <c r="B4" s="41" t="s">
        <v>87</v>
      </c>
      <c r="C4" s="41" t="s">
        <v>80</v>
      </c>
      <c r="D4" s="41" t="s">
        <v>94</v>
      </c>
    </row>
    <row r="5" spans="1:5" ht="15.6" x14ac:dyDescent="0.3">
      <c r="B5" s="40">
        <v>2016</v>
      </c>
      <c r="C5" s="40">
        <v>2016</v>
      </c>
      <c r="D5" s="40">
        <v>2017</v>
      </c>
    </row>
    <row r="6" spans="1:5" ht="15.6" x14ac:dyDescent="0.3">
      <c r="A6" s="1" t="s">
        <v>0</v>
      </c>
      <c r="D6" s="7"/>
    </row>
    <row r="7" spans="1:5" x14ac:dyDescent="0.25">
      <c r="A7" s="5" t="s">
        <v>57</v>
      </c>
      <c r="B7" s="7">
        <v>1800</v>
      </c>
      <c r="C7" s="7">
        <v>2320.5</v>
      </c>
      <c r="D7" s="7">
        <v>1800</v>
      </c>
    </row>
    <row r="8" spans="1:5" x14ac:dyDescent="0.25">
      <c r="A8" s="5" t="s">
        <v>21</v>
      </c>
      <c r="B8" s="7">
        <v>5</v>
      </c>
      <c r="C8" s="7">
        <v>140</v>
      </c>
      <c r="D8" s="7">
        <v>5</v>
      </c>
    </row>
    <row r="9" spans="1:5" x14ac:dyDescent="0.25">
      <c r="A9" s="5" t="s">
        <v>22</v>
      </c>
      <c r="B9" s="7">
        <v>0</v>
      </c>
      <c r="C9" s="7">
        <v>25</v>
      </c>
      <c r="D9" s="7">
        <v>0</v>
      </c>
    </row>
    <row r="10" spans="1:5" x14ac:dyDescent="0.25">
      <c r="A10" s="5" t="s">
        <v>23</v>
      </c>
      <c r="B10" s="7">
        <v>1000</v>
      </c>
      <c r="C10" s="7">
        <v>460</v>
      </c>
      <c r="D10" s="7">
        <v>500</v>
      </c>
    </row>
    <row r="11" spans="1:5" x14ac:dyDescent="0.25">
      <c r="A11" s="5" t="s">
        <v>72</v>
      </c>
      <c r="B11" s="7">
        <v>48000</v>
      </c>
      <c r="C11" s="7">
        <v>48000</v>
      </c>
      <c r="D11" s="7">
        <f>48000*1.1</f>
        <v>52800.000000000007</v>
      </c>
      <c r="E11" s="2">
        <f>SUM(D11/12/4)</f>
        <v>1100.0000000000002</v>
      </c>
    </row>
    <row r="12" spans="1:5" ht="15.6" thickBot="1" x14ac:dyDescent="0.3">
      <c r="A12" s="2" t="s">
        <v>96</v>
      </c>
      <c r="B12" s="8">
        <v>12000</v>
      </c>
      <c r="C12" s="8">
        <v>12000</v>
      </c>
      <c r="D12" s="8">
        <v>0</v>
      </c>
    </row>
    <row r="13" spans="1:5" s="3" customFormat="1" ht="15.6" x14ac:dyDescent="0.3">
      <c r="A13" s="3" t="s">
        <v>3</v>
      </c>
      <c r="B13" s="38">
        <f>SUM(B7:B12)</f>
        <v>62805</v>
      </c>
      <c r="C13" s="38">
        <f>SUM(C7:C12)</f>
        <v>62945.5</v>
      </c>
      <c r="D13" s="38">
        <f>SUM(D7:D12)</f>
        <v>55105.000000000007</v>
      </c>
    </row>
    <row r="14" spans="1:5" ht="15.6" x14ac:dyDescent="0.3">
      <c r="A14" s="1" t="s">
        <v>4</v>
      </c>
      <c r="D14" s="7"/>
    </row>
    <row r="15" spans="1:5" ht="15.6" x14ac:dyDescent="0.3">
      <c r="A15" s="1" t="s">
        <v>5</v>
      </c>
      <c r="D15" s="7"/>
    </row>
    <row r="16" spans="1:5" x14ac:dyDescent="0.25">
      <c r="A16" s="5" t="s">
        <v>24</v>
      </c>
      <c r="B16" s="7">
        <v>1930</v>
      </c>
      <c r="C16" s="7">
        <v>1930</v>
      </c>
      <c r="D16" s="7">
        <v>2000</v>
      </c>
    </row>
    <row r="17" spans="1:6" x14ac:dyDescent="0.25">
      <c r="A17" s="5" t="s">
        <v>6</v>
      </c>
      <c r="B17" s="7">
        <v>20</v>
      </c>
      <c r="C17" s="7">
        <v>100</v>
      </c>
      <c r="D17" s="7">
        <v>100</v>
      </c>
    </row>
    <row r="18" spans="1:6" x14ac:dyDescent="0.25">
      <c r="A18" s="2" t="s">
        <v>89</v>
      </c>
      <c r="B18" s="7">
        <v>0</v>
      </c>
      <c r="C18" s="7">
        <v>750</v>
      </c>
      <c r="D18" s="7">
        <v>500</v>
      </c>
    </row>
    <row r="19" spans="1:6" x14ac:dyDescent="0.25">
      <c r="A19" s="2" t="s">
        <v>12</v>
      </c>
      <c r="B19" s="7">
        <v>400</v>
      </c>
      <c r="C19" s="7">
        <v>360</v>
      </c>
      <c r="D19" s="7">
        <v>400</v>
      </c>
    </row>
    <row r="20" spans="1:6" x14ac:dyDescent="0.25">
      <c r="A20" s="2" t="s">
        <v>7</v>
      </c>
      <c r="B20" s="7">
        <v>62</v>
      </c>
      <c r="C20" s="7">
        <v>61.25</v>
      </c>
      <c r="D20" s="7">
        <v>62</v>
      </c>
    </row>
    <row r="21" spans="1:6" ht="15.6" thickBot="1" x14ac:dyDescent="0.3">
      <c r="A21" s="5" t="s">
        <v>39</v>
      </c>
      <c r="B21" s="8">
        <v>2400</v>
      </c>
      <c r="C21" s="8">
        <v>2400</v>
      </c>
      <c r="D21" s="8">
        <v>2400</v>
      </c>
    </row>
    <row r="22" spans="1:6" s="3" customFormat="1" ht="15.6" x14ac:dyDescent="0.3">
      <c r="A22" s="3" t="s">
        <v>19</v>
      </c>
      <c r="B22" s="38">
        <f>SUM(B16:B21)</f>
        <v>4812</v>
      </c>
      <c r="C22" s="38">
        <f>SUM(C16:C21)</f>
        <v>5601.25</v>
      </c>
      <c r="D22" s="38">
        <f>SUM(D16:D21)</f>
        <v>5462</v>
      </c>
    </row>
    <row r="23" spans="1:6" x14ac:dyDescent="0.25">
      <c r="D23" s="7"/>
    </row>
    <row r="24" spans="1:6" s="3" customFormat="1" ht="15.6" x14ac:dyDescent="0.3">
      <c r="A24" s="3" t="s">
        <v>8</v>
      </c>
      <c r="B24" s="6">
        <v>17218</v>
      </c>
      <c r="C24" s="6">
        <v>21600</v>
      </c>
      <c r="D24" s="6">
        <f>18500-32</f>
        <v>18468</v>
      </c>
      <c r="E24" s="1"/>
    </row>
    <row r="25" spans="1:6" x14ac:dyDescent="0.25">
      <c r="D25" s="7"/>
    </row>
    <row r="26" spans="1:6" ht="15.6" x14ac:dyDescent="0.3">
      <c r="A26" s="1" t="s">
        <v>9</v>
      </c>
      <c r="D26" s="7"/>
    </row>
    <row r="27" spans="1:6" x14ac:dyDescent="0.25">
      <c r="A27" s="5" t="s">
        <v>27</v>
      </c>
      <c r="B27" s="7">
        <v>500</v>
      </c>
      <c r="C27" s="7">
        <v>550</v>
      </c>
      <c r="D27" s="7">
        <v>500</v>
      </c>
    </row>
    <row r="28" spans="1:6" x14ac:dyDescent="0.25">
      <c r="A28" s="5" t="s">
        <v>28</v>
      </c>
      <c r="B28" s="7">
        <v>2000</v>
      </c>
      <c r="C28" s="7">
        <v>1100</v>
      </c>
      <c r="D28" s="7">
        <v>2000</v>
      </c>
    </row>
    <row r="29" spans="1:6" x14ac:dyDescent="0.25">
      <c r="A29" s="5" t="s">
        <v>30</v>
      </c>
      <c r="B29" s="7">
        <v>200</v>
      </c>
      <c r="C29" s="7">
        <v>200</v>
      </c>
      <c r="D29" s="7">
        <v>200</v>
      </c>
    </row>
    <row r="30" spans="1:6" x14ac:dyDescent="0.25">
      <c r="A30" s="5" t="s">
        <v>31</v>
      </c>
      <c r="B30" s="7">
        <v>200</v>
      </c>
      <c r="C30" s="7">
        <v>550</v>
      </c>
      <c r="D30" s="7">
        <v>500</v>
      </c>
    </row>
    <row r="31" spans="1:6" x14ac:dyDescent="0.25">
      <c r="A31" s="5" t="s">
        <v>32</v>
      </c>
      <c r="B31" s="7">
        <v>75</v>
      </c>
      <c r="C31" s="7">
        <v>0</v>
      </c>
      <c r="D31" s="7">
        <v>75</v>
      </c>
    </row>
    <row r="32" spans="1:6" ht="15.6" x14ac:dyDescent="0.3">
      <c r="A32" s="5" t="s">
        <v>33</v>
      </c>
      <c r="B32" s="7">
        <v>0</v>
      </c>
      <c r="C32" s="7">
        <v>0</v>
      </c>
      <c r="D32" s="7">
        <v>100</v>
      </c>
      <c r="F32" s="4"/>
    </row>
    <row r="33" spans="1:6" ht="16.2" thickBot="1" x14ac:dyDescent="0.35">
      <c r="A33" s="5" t="s">
        <v>34</v>
      </c>
      <c r="B33" s="8">
        <v>400</v>
      </c>
      <c r="C33" s="8">
        <v>0</v>
      </c>
      <c r="D33" s="8">
        <v>400</v>
      </c>
      <c r="F33" s="4"/>
    </row>
    <row r="34" spans="1:6" s="3" customFormat="1" ht="15.6" x14ac:dyDescent="0.3">
      <c r="A34" s="3" t="s">
        <v>18</v>
      </c>
      <c r="B34" s="38">
        <f>SUM(B27:B33)</f>
        <v>3375</v>
      </c>
      <c r="C34" s="38">
        <f>SUM(C27:C33)</f>
        <v>2400</v>
      </c>
      <c r="D34" s="38">
        <f>SUM(D27:D33)</f>
        <v>3775</v>
      </c>
    </row>
    <row r="35" spans="1:6" x14ac:dyDescent="0.25">
      <c r="D35" s="7"/>
    </row>
    <row r="36" spans="1:6" ht="15.6" x14ac:dyDescent="0.3">
      <c r="A36" s="3" t="s">
        <v>35</v>
      </c>
      <c r="D36" s="7"/>
    </row>
    <row r="37" spans="1:6" x14ac:dyDescent="0.25">
      <c r="A37" s="5" t="s">
        <v>10</v>
      </c>
      <c r="B37" s="7">
        <f>200*12</f>
        <v>2400</v>
      </c>
      <c r="C37" s="7">
        <v>3500</v>
      </c>
      <c r="D37" s="7">
        <v>3500</v>
      </c>
    </row>
    <row r="38" spans="1:6" x14ac:dyDescent="0.25">
      <c r="A38" s="5" t="s">
        <v>36</v>
      </c>
      <c r="B38" s="7">
        <v>200</v>
      </c>
      <c r="C38" s="7">
        <v>0</v>
      </c>
      <c r="D38" s="7">
        <v>200</v>
      </c>
    </row>
    <row r="39" spans="1:6" x14ac:dyDescent="0.25">
      <c r="A39" s="5" t="s">
        <v>37</v>
      </c>
      <c r="B39" s="7">
        <f>175*12</f>
        <v>2100</v>
      </c>
      <c r="C39" s="7">
        <v>2500</v>
      </c>
      <c r="D39" s="7">
        <v>2500</v>
      </c>
    </row>
    <row r="40" spans="1:6" x14ac:dyDescent="0.25">
      <c r="A40" s="5" t="s">
        <v>41</v>
      </c>
      <c r="B40" s="7">
        <f>150*12</f>
        <v>1800</v>
      </c>
      <c r="C40" s="7">
        <v>1800</v>
      </c>
      <c r="D40" s="7">
        <f>150*12</f>
        <v>1800</v>
      </c>
    </row>
    <row r="41" spans="1:6" ht="15.6" thickBot="1" x14ac:dyDescent="0.3">
      <c r="A41" s="5" t="s">
        <v>11</v>
      </c>
      <c r="B41" s="8">
        <v>100</v>
      </c>
      <c r="C41" s="8">
        <v>0</v>
      </c>
      <c r="D41" s="8">
        <v>100</v>
      </c>
    </row>
    <row r="42" spans="1:6" ht="15.6" x14ac:dyDescent="0.3">
      <c r="A42" s="3" t="s">
        <v>38</v>
      </c>
      <c r="B42" s="38">
        <f>SUM(B37:B41)</f>
        <v>6600</v>
      </c>
      <c r="C42" s="38">
        <f>SUM(C37:C41)</f>
        <v>7800</v>
      </c>
      <c r="D42" s="38">
        <f>SUM(D37:D41)</f>
        <v>8100</v>
      </c>
    </row>
    <row r="43" spans="1:6" x14ac:dyDescent="0.25">
      <c r="D43" s="7"/>
    </row>
    <row r="44" spans="1:6" ht="15.6" x14ac:dyDescent="0.3">
      <c r="A44" s="1" t="s">
        <v>13</v>
      </c>
      <c r="D44" s="7"/>
    </row>
    <row r="45" spans="1:6" x14ac:dyDescent="0.25">
      <c r="A45" s="2" t="s">
        <v>14</v>
      </c>
      <c r="B45" s="7">
        <v>7600</v>
      </c>
      <c r="C45" s="7">
        <v>7000</v>
      </c>
      <c r="D45" s="7">
        <v>7600</v>
      </c>
    </row>
    <row r="46" spans="1:6" x14ac:dyDescent="0.25">
      <c r="A46" s="5" t="s">
        <v>26</v>
      </c>
      <c r="B46" s="7">
        <v>800</v>
      </c>
      <c r="C46" s="7">
        <v>1200</v>
      </c>
      <c r="D46" s="7">
        <v>1300</v>
      </c>
    </row>
    <row r="47" spans="1:6" x14ac:dyDescent="0.25">
      <c r="A47" s="5" t="s">
        <v>25</v>
      </c>
      <c r="B47" s="7">
        <v>8700</v>
      </c>
      <c r="C47" s="7">
        <v>8200</v>
      </c>
      <c r="D47" s="7">
        <v>8700</v>
      </c>
    </row>
    <row r="48" spans="1:6" ht="15.6" thickBot="1" x14ac:dyDescent="0.3">
      <c r="A48" s="2" t="s">
        <v>15</v>
      </c>
      <c r="B48" s="8">
        <v>1700</v>
      </c>
      <c r="C48" s="8">
        <v>1500</v>
      </c>
      <c r="D48" s="8">
        <v>1700</v>
      </c>
    </row>
    <row r="49" spans="1:4" s="3" customFormat="1" ht="15.6" x14ac:dyDescent="0.3">
      <c r="A49" s="3" t="s">
        <v>16</v>
      </c>
      <c r="B49" s="38">
        <f>SUM(B45:B48)</f>
        <v>18800</v>
      </c>
      <c r="C49" s="38">
        <f>SUM(C45:C48)</f>
        <v>17900</v>
      </c>
      <c r="D49" s="38">
        <f>SUM(D45:D48)</f>
        <v>19300</v>
      </c>
    </row>
    <row r="50" spans="1:4" ht="15.6" thickBot="1" x14ac:dyDescent="0.3">
      <c r="B50" s="9"/>
      <c r="C50" s="9"/>
      <c r="D50" s="9"/>
    </row>
    <row r="51" spans="1:4" s="3" customFormat="1" ht="16.2" thickTop="1" x14ac:dyDescent="0.3">
      <c r="A51" s="3" t="s">
        <v>17</v>
      </c>
      <c r="B51" s="38">
        <f>SUM(B22+B24+B34+B42+B49)</f>
        <v>50805</v>
      </c>
      <c r="C51" s="38">
        <f>SUM(C22+C24+C34+C42+C49)</f>
        <v>55301.25</v>
      </c>
      <c r="D51" s="38">
        <f>SUM(D22+D24+D34+D42+D49)</f>
        <v>55105</v>
      </c>
    </row>
    <row r="52" spans="1:4" ht="15.6" thickBot="1" x14ac:dyDescent="0.3"/>
    <row r="53" spans="1:4" ht="16.2" thickBot="1" x14ac:dyDescent="0.35">
      <c r="A53" s="97" t="s">
        <v>97</v>
      </c>
      <c r="B53" s="85"/>
      <c r="C53" s="86"/>
    </row>
    <row r="54" spans="1:4" x14ac:dyDescent="0.25">
      <c r="A54" s="5" t="s">
        <v>40</v>
      </c>
    </row>
  </sheetData>
  <mergeCells count="2">
    <mergeCell ref="A1:D2"/>
    <mergeCell ref="A53:C53"/>
  </mergeCells>
  <pageMargins left="0.75" right="0.75" top="0.52" bottom="0.35" header="0.5" footer="0.5"/>
  <pageSetup scale="8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9"/>
  <sheetViews>
    <sheetView zoomScaleNormal="100" workbookViewId="0">
      <selection activeCell="B5" sqref="B5"/>
    </sheetView>
  </sheetViews>
  <sheetFormatPr defaultColWidth="8.77734375" defaultRowHeight="13.2" x14ac:dyDescent="0.25"/>
  <cols>
    <col min="1" max="1" width="23" customWidth="1"/>
    <col min="2" max="2" width="18.44140625" customWidth="1"/>
    <col min="3" max="3" width="26.21875" customWidth="1"/>
    <col min="4" max="4" width="19.44140625" customWidth="1"/>
    <col min="5" max="5" width="18.5546875" customWidth="1"/>
    <col min="6" max="6" width="15.21875" customWidth="1"/>
    <col min="7" max="7" width="9.44140625" customWidth="1"/>
    <col min="8" max="8" width="12.44140625" customWidth="1"/>
    <col min="9" max="9" width="13.44140625" customWidth="1"/>
  </cols>
  <sheetData>
    <row r="1" spans="1:9" ht="13.8" thickBot="1" x14ac:dyDescent="0.3"/>
    <row r="2" spans="1:9" ht="37.5" customHeight="1" thickTop="1" thickBot="1" x14ac:dyDescent="0.35">
      <c r="A2" s="76" t="s">
        <v>43</v>
      </c>
      <c r="B2" s="77"/>
      <c r="C2" s="77"/>
      <c r="D2" s="77"/>
      <c r="E2" s="77"/>
      <c r="F2" s="78"/>
      <c r="G2" s="3"/>
    </row>
    <row r="3" spans="1:9" ht="78" x14ac:dyDescent="0.3">
      <c r="A3" s="21" t="s">
        <v>44</v>
      </c>
      <c r="B3" s="18" t="s">
        <v>70</v>
      </c>
      <c r="C3" s="18" t="s">
        <v>60</v>
      </c>
      <c r="D3" s="19" t="s">
        <v>45</v>
      </c>
      <c r="E3" s="18" t="s">
        <v>61</v>
      </c>
      <c r="F3" s="22" t="s">
        <v>46</v>
      </c>
    </row>
    <row r="4" spans="1:9" ht="15" x14ac:dyDescent="0.25">
      <c r="A4" s="23" t="s">
        <v>56</v>
      </c>
      <c r="B4" s="20">
        <v>1100</v>
      </c>
      <c r="C4" s="20">
        <f>SUM(I16/4/12)</f>
        <v>763.75405864487414</v>
      </c>
      <c r="D4" s="20">
        <f>SUM(B4+C4)</f>
        <v>1863.754058644874</v>
      </c>
      <c r="E4" s="20">
        <f>SUM(H16/4/12)</f>
        <v>381.87702932243707</v>
      </c>
      <c r="F4" s="24">
        <f>SUM(B4+E4)</f>
        <v>1481.877029322437</v>
      </c>
    </row>
    <row r="5" spans="1:9" ht="16.2" thickBot="1" x14ac:dyDescent="0.35">
      <c r="A5" s="25" t="s">
        <v>47</v>
      </c>
      <c r="B5" s="26">
        <f>B4*12*4</f>
        <v>52800</v>
      </c>
      <c r="C5" s="26">
        <f>SUM(C4*12*4)</f>
        <v>36660.19481495396</v>
      </c>
      <c r="D5" s="26">
        <f>SUM(D4*12*4)</f>
        <v>89460.194814953953</v>
      </c>
      <c r="E5" s="26">
        <f>SUM(E4*12*4)</f>
        <v>18330.09740747698</v>
      </c>
      <c r="F5" s="27">
        <f>SUM(F4*4*12)</f>
        <v>71130.097407476977</v>
      </c>
    </row>
    <row r="6" spans="1:9" ht="13.8" thickTop="1" x14ac:dyDescent="0.25"/>
    <row r="7" spans="1:9" ht="13.8" thickBot="1" x14ac:dyDescent="0.3"/>
    <row r="8" spans="1:9" ht="16.2" thickTop="1" x14ac:dyDescent="0.3">
      <c r="A8" s="89" t="s">
        <v>90</v>
      </c>
      <c r="B8" s="80"/>
      <c r="C8" s="80"/>
      <c r="D8" s="80"/>
      <c r="E8" s="80"/>
      <c r="F8" s="80"/>
      <c r="G8" s="80"/>
      <c r="H8" s="80"/>
      <c r="I8" s="81"/>
    </row>
    <row r="9" spans="1:9" ht="38.25" customHeight="1" x14ac:dyDescent="0.25">
      <c r="A9" s="28" t="s">
        <v>51</v>
      </c>
      <c r="B9" s="15" t="s">
        <v>62</v>
      </c>
      <c r="C9" s="15" t="s">
        <v>63</v>
      </c>
      <c r="D9" s="16" t="s">
        <v>64</v>
      </c>
      <c r="E9" s="15" t="s">
        <v>91</v>
      </c>
      <c r="F9" s="15" t="s">
        <v>68</v>
      </c>
      <c r="G9" s="15" t="s">
        <v>65</v>
      </c>
      <c r="H9" s="17" t="s">
        <v>92</v>
      </c>
      <c r="I9" s="29" t="s">
        <v>93</v>
      </c>
    </row>
    <row r="10" spans="1:9" x14ac:dyDescent="0.25">
      <c r="A10" s="30" t="s">
        <v>29</v>
      </c>
      <c r="B10" s="12">
        <v>8</v>
      </c>
      <c r="C10" s="13">
        <v>15000</v>
      </c>
      <c r="D10" s="11">
        <v>0.2</v>
      </c>
      <c r="E10" s="13">
        <v>1180.2865999999999</v>
      </c>
      <c r="F10" s="12">
        <v>2</v>
      </c>
      <c r="G10" s="13">
        <f>SUM(C10-E10)</f>
        <v>13819.713400000001</v>
      </c>
      <c r="H10" s="14">
        <f>SUM(I10*0.5)</f>
        <v>3454.9283500000001</v>
      </c>
      <c r="I10" s="31">
        <f>SUM(G10/F10)</f>
        <v>6909.8567000000003</v>
      </c>
    </row>
    <row r="11" spans="1:9" x14ac:dyDescent="0.25">
      <c r="A11" s="30" t="s">
        <v>48</v>
      </c>
      <c r="B11" s="12">
        <v>20</v>
      </c>
      <c r="C11" s="13">
        <v>40000</v>
      </c>
      <c r="D11" s="11">
        <v>0.05</v>
      </c>
      <c r="E11" s="13">
        <v>252</v>
      </c>
      <c r="F11" s="12">
        <v>17</v>
      </c>
      <c r="G11" s="13">
        <f>SUM(C11-E11)</f>
        <v>39748</v>
      </c>
      <c r="H11" s="14">
        <f>SUM(I11*0.5)</f>
        <v>1169.0588235294117</v>
      </c>
      <c r="I11" s="31">
        <f>SUM(G11/F11)</f>
        <v>2338.1176470588234</v>
      </c>
    </row>
    <row r="12" spans="1:9" x14ac:dyDescent="0.25">
      <c r="A12" s="30" t="s">
        <v>54</v>
      </c>
      <c r="B12" s="12">
        <v>8</v>
      </c>
      <c r="C12" s="13">
        <v>10000</v>
      </c>
      <c r="D12" s="11">
        <v>0.1</v>
      </c>
      <c r="E12" s="13">
        <v>0</v>
      </c>
      <c r="F12" s="12">
        <v>8</v>
      </c>
      <c r="G12" s="13">
        <f t="shared" ref="G12:G15" si="0">SUM(C12-E12)</f>
        <v>10000</v>
      </c>
      <c r="H12" s="14">
        <f t="shared" ref="H12:H15" si="1">SUM(I12*0.5)</f>
        <v>625</v>
      </c>
      <c r="I12" s="31">
        <f t="shared" ref="I12:I15" si="2">SUM(G12/F12)</f>
        <v>1250</v>
      </c>
    </row>
    <row r="13" spans="1:9" x14ac:dyDescent="0.25">
      <c r="A13" s="30" t="s">
        <v>55</v>
      </c>
      <c r="B13" s="12">
        <v>50</v>
      </c>
      <c r="C13" s="13">
        <v>60000</v>
      </c>
      <c r="D13" s="11">
        <v>0.2</v>
      </c>
      <c r="E13" s="13">
        <v>0</v>
      </c>
      <c r="F13" s="12">
        <v>47</v>
      </c>
      <c r="G13" s="13">
        <f t="shared" si="0"/>
        <v>60000</v>
      </c>
      <c r="H13" s="14">
        <f t="shared" si="1"/>
        <v>638.29787234042556</v>
      </c>
      <c r="I13" s="31">
        <f t="shared" si="2"/>
        <v>1276.5957446808511</v>
      </c>
    </row>
    <row r="14" spans="1:9" x14ac:dyDescent="0.25">
      <c r="A14" s="30" t="s">
        <v>49</v>
      </c>
      <c r="B14" s="12">
        <v>20</v>
      </c>
      <c r="C14" s="13">
        <v>100000</v>
      </c>
      <c r="D14" s="11">
        <v>0.4</v>
      </c>
      <c r="E14" s="13">
        <v>0</v>
      </c>
      <c r="F14" s="12">
        <v>7</v>
      </c>
      <c r="G14" s="13">
        <f t="shared" si="0"/>
        <v>100000</v>
      </c>
      <c r="H14" s="14">
        <f t="shared" si="1"/>
        <v>7142.8571428571431</v>
      </c>
      <c r="I14" s="31">
        <f t="shared" si="2"/>
        <v>14285.714285714286</v>
      </c>
    </row>
    <row r="15" spans="1:9" x14ac:dyDescent="0.25">
      <c r="A15" s="30" t="s">
        <v>52</v>
      </c>
      <c r="B15" s="12">
        <v>7</v>
      </c>
      <c r="C15" s="13">
        <v>12000</v>
      </c>
      <c r="D15" s="11">
        <v>0.05</v>
      </c>
      <c r="E15" s="13">
        <v>1400.0895625000001</v>
      </c>
      <c r="F15" s="12">
        <v>1</v>
      </c>
      <c r="G15" s="13">
        <f t="shared" si="0"/>
        <v>10599.910437500001</v>
      </c>
      <c r="H15" s="14">
        <f t="shared" si="1"/>
        <v>5299.9552187500003</v>
      </c>
      <c r="I15" s="31">
        <f t="shared" si="2"/>
        <v>10599.910437500001</v>
      </c>
    </row>
    <row r="16" spans="1:9" ht="13.8" thickBot="1" x14ac:dyDescent="0.3">
      <c r="A16" s="32" t="s">
        <v>53</v>
      </c>
      <c r="B16" s="33"/>
      <c r="C16" s="34">
        <f>SUM(C10:C15)</f>
        <v>237000</v>
      </c>
      <c r="D16" s="35">
        <f>SUM(D10:D15)</f>
        <v>1</v>
      </c>
      <c r="E16" s="34">
        <v>9408.8116921428573</v>
      </c>
      <c r="F16" s="34"/>
      <c r="G16" s="34">
        <f>SUM(G10:G15)</f>
        <v>234167.6238375</v>
      </c>
      <c r="H16" s="36">
        <f>SUM(H10:H15)</f>
        <v>18330.09740747698</v>
      </c>
      <c r="I16" s="37">
        <f>SUM(I10:I15)</f>
        <v>36660.19481495396</v>
      </c>
    </row>
    <row r="17" spans="1:9" ht="14.4" thickTop="1" thickBot="1" x14ac:dyDescent="0.3"/>
    <row r="18" spans="1:9" ht="12.75" customHeight="1" x14ac:dyDescent="0.25">
      <c r="A18" s="90" t="s">
        <v>71</v>
      </c>
      <c r="B18" s="91"/>
      <c r="C18" s="91"/>
      <c r="D18" s="91"/>
      <c r="E18" s="91"/>
      <c r="F18" s="91"/>
      <c r="G18" s="91"/>
      <c r="H18" s="91"/>
      <c r="I18" s="92"/>
    </row>
    <row r="19" spans="1:9" ht="13.8" thickBot="1" x14ac:dyDescent="0.3">
      <c r="A19" s="93"/>
      <c r="B19" s="94"/>
      <c r="C19" s="94"/>
      <c r="D19" s="94"/>
      <c r="E19" s="94"/>
      <c r="F19" s="94"/>
      <c r="G19" s="94"/>
      <c r="H19" s="94"/>
      <c r="I19" s="95"/>
    </row>
  </sheetData>
  <mergeCells count="3">
    <mergeCell ref="A2:F2"/>
    <mergeCell ref="A8:I8"/>
    <mergeCell ref="A18:I19"/>
  </mergeCells>
  <pageMargins left="0.2" right="0.23" top="1" bottom="0.52" header="0.5" footer="0.5"/>
  <pageSetup scale="76" orientation="landscape" r:id="rId1"/>
  <headerFooter alignWithMargins="0">
    <oddHeader>&amp;C&amp;"Arial,Bold"&amp;12Oakland Arms Condominium Association, Inc.
Reserves 2017</oddHeader>
    <oddFooter>&amp;L&amp;T&amp;D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61"/>
  <sheetViews>
    <sheetView view="pageBreakPreview" zoomScale="60" zoomScaleNormal="100" workbookViewId="0">
      <selection activeCell="D29" sqref="D29"/>
    </sheetView>
  </sheetViews>
  <sheetFormatPr defaultColWidth="9.21875" defaultRowHeight="15" x14ac:dyDescent="0.25"/>
  <cols>
    <col min="1" max="1" width="39.5546875" style="2" customWidth="1"/>
    <col min="2" max="2" width="25.21875" style="7" customWidth="1"/>
    <col min="3" max="3" width="21.44140625" style="7" customWidth="1"/>
    <col min="4" max="4" width="20.77734375" style="2" customWidth="1"/>
    <col min="5" max="16384" width="9.21875" style="2"/>
  </cols>
  <sheetData>
    <row r="1" spans="1:4" ht="15" customHeight="1" x14ac:dyDescent="0.25">
      <c r="A1" s="96" t="s">
        <v>98</v>
      </c>
      <c r="B1" s="96"/>
      <c r="C1" s="96"/>
      <c r="D1" s="96"/>
    </row>
    <row r="2" spans="1:4" ht="15" customHeight="1" x14ac:dyDescent="0.25">
      <c r="A2" s="96"/>
      <c r="B2" s="96"/>
      <c r="C2" s="96"/>
      <c r="D2" s="96"/>
    </row>
    <row r="4" spans="1:4" ht="31.2" x14ac:dyDescent="0.3">
      <c r="B4" s="41" t="s">
        <v>87</v>
      </c>
      <c r="C4" s="41" t="s">
        <v>80</v>
      </c>
      <c r="D4" s="41" t="s">
        <v>87</v>
      </c>
    </row>
    <row r="5" spans="1:4" ht="15.6" x14ac:dyDescent="0.3">
      <c r="B5" s="40">
        <v>2017</v>
      </c>
      <c r="C5" s="40">
        <v>2017</v>
      </c>
      <c r="D5" s="40">
        <v>2018</v>
      </c>
    </row>
    <row r="6" spans="1:4" ht="15.6" x14ac:dyDescent="0.3">
      <c r="A6" s="1" t="s">
        <v>0</v>
      </c>
      <c r="D6" s="7"/>
    </row>
    <row r="7" spans="1:4" x14ac:dyDescent="0.25">
      <c r="A7" s="5" t="s">
        <v>57</v>
      </c>
      <c r="B7" s="7">
        <v>1800</v>
      </c>
      <c r="C7" s="7">
        <v>2500</v>
      </c>
      <c r="D7" s="7">
        <v>2000</v>
      </c>
    </row>
    <row r="8" spans="1:4" x14ac:dyDescent="0.25">
      <c r="A8" s="5" t="s">
        <v>21</v>
      </c>
      <c r="B8" s="7">
        <v>5</v>
      </c>
      <c r="C8" s="7">
        <v>2</v>
      </c>
      <c r="D8" s="7">
        <v>5</v>
      </c>
    </row>
    <row r="9" spans="1:4" x14ac:dyDescent="0.25">
      <c r="A9" s="5" t="s">
        <v>22</v>
      </c>
      <c r="B9" s="7">
        <v>0</v>
      </c>
      <c r="C9" s="7">
        <v>50</v>
      </c>
      <c r="D9" s="7">
        <v>50</v>
      </c>
    </row>
    <row r="10" spans="1:4" x14ac:dyDescent="0.25">
      <c r="A10" s="5" t="s">
        <v>23</v>
      </c>
      <c r="B10" s="7">
        <v>500</v>
      </c>
      <c r="C10" s="7">
        <v>1810</v>
      </c>
      <c r="D10" s="7">
        <v>1600</v>
      </c>
    </row>
    <row r="11" spans="1:4" x14ac:dyDescent="0.25">
      <c r="A11" s="5" t="s">
        <v>72</v>
      </c>
      <c r="B11" s="7">
        <f>48000*1.1</f>
        <v>52800.000000000007</v>
      </c>
      <c r="C11" s="7">
        <v>52800</v>
      </c>
      <c r="D11" s="7">
        <v>52800</v>
      </c>
    </row>
    <row r="12" spans="1:4" ht="15.6" thickBot="1" x14ac:dyDescent="0.3">
      <c r="A12" s="2" t="s">
        <v>96</v>
      </c>
      <c r="B12" s="8">
        <v>0</v>
      </c>
      <c r="C12" s="8">
        <v>24000</v>
      </c>
      <c r="D12" s="8">
        <v>0</v>
      </c>
    </row>
    <row r="13" spans="1:4" s="3" customFormat="1" ht="15.6" x14ac:dyDescent="0.3">
      <c r="A13" s="3" t="s">
        <v>3</v>
      </c>
      <c r="B13" s="38">
        <f>SUM(B7:B12)</f>
        <v>55105.000000000007</v>
      </c>
      <c r="C13" s="38">
        <f>SUM(C7:C12)</f>
        <v>81162</v>
      </c>
      <c r="D13" s="38">
        <f>SUM(D7:D12)</f>
        <v>56455</v>
      </c>
    </row>
    <row r="14" spans="1:4" ht="15.6" x14ac:dyDescent="0.3">
      <c r="A14" s="1" t="s">
        <v>4</v>
      </c>
      <c r="D14" s="7"/>
    </row>
    <row r="15" spans="1:4" ht="15.6" x14ac:dyDescent="0.3">
      <c r="A15" s="1" t="s">
        <v>5</v>
      </c>
      <c r="D15" s="7"/>
    </row>
    <row r="16" spans="1:4" x14ac:dyDescent="0.25">
      <c r="A16" s="5" t="s">
        <v>24</v>
      </c>
      <c r="B16" s="7">
        <v>2000</v>
      </c>
      <c r="C16" s="7">
        <v>2500</v>
      </c>
      <c r="D16" s="7">
        <v>2000</v>
      </c>
    </row>
    <row r="17" spans="1:6" x14ac:dyDescent="0.25">
      <c r="A17" s="5" t="s">
        <v>6</v>
      </c>
      <c r="B17" s="7">
        <v>100</v>
      </c>
      <c r="C17" s="7">
        <v>35</v>
      </c>
      <c r="D17" s="7">
        <v>50</v>
      </c>
    </row>
    <row r="18" spans="1:6" x14ac:dyDescent="0.25">
      <c r="A18" s="2" t="s">
        <v>89</v>
      </c>
      <c r="B18" s="7">
        <v>500</v>
      </c>
      <c r="C18" s="7">
        <v>0</v>
      </c>
      <c r="D18" s="7">
        <v>350</v>
      </c>
    </row>
    <row r="19" spans="1:6" x14ac:dyDescent="0.25">
      <c r="A19" s="2" t="s">
        <v>12</v>
      </c>
      <c r="B19" s="7">
        <v>400</v>
      </c>
      <c r="C19" s="7">
        <v>210</v>
      </c>
      <c r="D19" s="7">
        <v>400</v>
      </c>
    </row>
    <row r="20" spans="1:6" x14ac:dyDescent="0.25">
      <c r="A20" s="2" t="s">
        <v>7</v>
      </c>
      <c r="B20" s="7">
        <v>62</v>
      </c>
      <c r="C20" s="7">
        <v>125</v>
      </c>
      <c r="D20" s="7">
        <v>62</v>
      </c>
    </row>
    <row r="21" spans="1:6" ht="15.6" thickBot="1" x14ac:dyDescent="0.3">
      <c r="A21" s="5" t="s">
        <v>39</v>
      </c>
      <c r="B21" s="8">
        <v>2400</v>
      </c>
      <c r="C21" s="8">
        <v>2850</v>
      </c>
      <c r="D21" s="8">
        <v>2400</v>
      </c>
    </row>
    <row r="22" spans="1:6" s="3" customFormat="1" ht="15.6" x14ac:dyDescent="0.3">
      <c r="A22" s="3" t="s">
        <v>19</v>
      </c>
      <c r="B22" s="38">
        <f>SUM(B16:B21)</f>
        <v>5462</v>
      </c>
      <c r="C22" s="38">
        <f>SUM(C16:C21)</f>
        <v>5720</v>
      </c>
      <c r="D22" s="38">
        <f>SUM(D16:D21)</f>
        <v>5262</v>
      </c>
    </row>
    <row r="23" spans="1:6" x14ac:dyDescent="0.25">
      <c r="D23" s="7"/>
    </row>
    <row r="24" spans="1:6" s="3" customFormat="1" ht="15.6" x14ac:dyDescent="0.3">
      <c r="A24" s="3" t="s">
        <v>8</v>
      </c>
      <c r="B24" s="6">
        <v>18468</v>
      </c>
      <c r="C24" s="6">
        <v>18000</v>
      </c>
      <c r="D24" s="6">
        <v>18000</v>
      </c>
      <c r="E24" s="1"/>
    </row>
    <row r="25" spans="1:6" x14ac:dyDescent="0.25">
      <c r="D25" s="7" t="s">
        <v>40</v>
      </c>
    </row>
    <row r="26" spans="1:6" ht="15.6" x14ac:dyDescent="0.3">
      <c r="A26" s="1" t="s">
        <v>9</v>
      </c>
      <c r="D26" s="7"/>
    </row>
    <row r="27" spans="1:6" x14ac:dyDescent="0.25">
      <c r="A27" s="5" t="s">
        <v>27</v>
      </c>
      <c r="B27" s="7">
        <v>500</v>
      </c>
      <c r="C27" s="7">
        <v>500</v>
      </c>
      <c r="D27" s="7">
        <v>500</v>
      </c>
    </row>
    <row r="28" spans="1:6" x14ac:dyDescent="0.25">
      <c r="A28" s="5" t="s">
        <v>28</v>
      </c>
      <c r="B28" s="7">
        <v>2000</v>
      </c>
      <c r="C28" s="7">
        <v>1200</v>
      </c>
      <c r="D28" s="7">
        <v>1518</v>
      </c>
    </row>
    <row r="29" spans="1:6" x14ac:dyDescent="0.25">
      <c r="A29" s="5" t="s">
        <v>30</v>
      </c>
      <c r="B29" s="7">
        <v>200</v>
      </c>
      <c r="C29" s="7">
        <v>0</v>
      </c>
      <c r="D29" s="7">
        <v>200</v>
      </c>
    </row>
    <row r="30" spans="1:6" x14ac:dyDescent="0.25">
      <c r="A30" s="5" t="s">
        <v>31</v>
      </c>
      <c r="B30" s="7">
        <v>500</v>
      </c>
      <c r="C30" s="7">
        <v>680</v>
      </c>
      <c r="D30" s="7">
        <v>500</v>
      </c>
    </row>
    <row r="31" spans="1:6" x14ac:dyDescent="0.25">
      <c r="A31" s="5" t="s">
        <v>32</v>
      </c>
      <c r="B31" s="7">
        <v>75</v>
      </c>
      <c r="C31" s="7">
        <v>75</v>
      </c>
      <c r="D31" s="7">
        <v>75</v>
      </c>
    </row>
    <row r="32" spans="1:6" ht="15.6" x14ac:dyDescent="0.3">
      <c r="A32" s="5" t="s">
        <v>33</v>
      </c>
      <c r="B32" s="7">
        <v>100</v>
      </c>
      <c r="C32" s="7">
        <v>100</v>
      </c>
      <c r="D32" s="7">
        <v>100</v>
      </c>
      <c r="F32" s="4"/>
    </row>
    <row r="33" spans="1:6" ht="16.2" thickBot="1" x14ac:dyDescent="0.35">
      <c r="A33" s="5" t="s">
        <v>34</v>
      </c>
      <c r="B33" s="8">
        <v>400</v>
      </c>
      <c r="C33" s="8">
        <v>0</v>
      </c>
      <c r="D33" s="8">
        <v>400</v>
      </c>
      <c r="F33" s="4"/>
    </row>
    <row r="34" spans="1:6" s="3" customFormat="1" ht="15.6" x14ac:dyDescent="0.3">
      <c r="A34" s="3" t="s">
        <v>18</v>
      </c>
      <c r="B34" s="38">
        <f>SUM(B27:B33)</f>
        <v>3775</v>
      </c>
      <c r="C34" s="38">
        <f>SUM(C27:C33)</f>
        <v>2555</v>
      </c>
      <c r="D34" s="38">
        <f>SUM(D27:D33)</f>
        <v>3293</v>
      </c>
    </row>
    <row r="35" spans="1:6" x14ac:dyDescent="0.25">
      <c r="D35" s="7"/>
    </row>
    <row r="36" spans="1:6" ht="15.6" x14ac:dyDescent="0.3">
      <c r="A36" s="3" t="s">
        <v>35</v>
      </c>
      <c r="D36" s="7"/>
    </row>
    <row r="37" spans="1:6" x14ac:dyDescent="0.25">
      <c r="A37" s="5" t="s">
        <v>10</v>
      </c>
      <c r="B37" s="7">
        <v>3500</v>
      </c>
      <c r="C37" s="7">
        <v>2500</v>
      </c>
      <c r="D37" s="7">
        <v>3500</v>
      </c>
    </row>
    <row r="38" spans="1:6" x14ac:dyDescent="0.25">
      <c r="A38" s="5" t="s">
        <v>36</v>
      </c>
      <c r="B38" s="7">
        <v>200</v>
      </c>
      <c r="C38" s="7">
        <v>300</v>
      </c>
      <c r="D38" s="7">
        <v>200</v>
      </c>
    </row>
    <row r="39" spans="1:6" x14ac:dyDescent="0.25">
      <c r="A39" s="5" t="s">
        <v>37</v>
      </c>
      <c r="B39" s="7">
        <v>2500</v>
      </c>
      <c r="C39" s="7">
        <v>2600</v>
      </c>
      <c r="D39" s="7">
        <v>2500</v>
      </c>
    </row>
    <row r="40" spans="1:6" x14ac:dyDescent="0.25">
      <c r="A40" s="5" t="s">
        <v>41</v>
      </c>
      <c r="B40" s="7">
        <f>150*12</f>
        <v>1800</v>
      </c>
      <c r="C40" s="7">
        <v>1200</v>
      </c>
      <c r="D40" s="7">
        <f>150*12</f>
        <v>1800</v>
      </c>
    </row>
    <row r="41" spans="1:6" ht="15.6" thickBot="1" x14ac:dyDescent="0.3">
      <c r="A41" s="5" t="s">
        <v>11</v>
      </c>
      <c r="B41" s="8">
        <v>100</v>
      </c>
      <c r="C41" s="8">
        <v>200</v>
      </c>
      <c r="D41" s="8">
        <v>100</v>
      </c>
    </row>
    <row r="42" spans="1:6" ht="15.6" x14ac:dyDescent="0.3">
      <c r="A42" s="3" t="s">
        <v>38</v>
      </c>
      <c r="B42" s="38">
        <f>SUM(B37:B41)</f>
        <v>8100</v>
      </c>
      <c r="C42" s="38">
        <f>SUM(C37:C41)</f>
        <v>6800</v>
      </c>
      <c r="D42" s="38">
        <f>SUM(D37:D41)</f>
        <v>8100</v>
      </c>
    </row>
    <row r="43" spans="1:6" x14ac:dyDescent="0.25">
      <c r="D43" s="7"/>
    </row>
    <row r="44" spans="1:6" ht="15.6" x14ac:dyDescent="0.3">
      <c r="A44" s="1" t="s">
        <v>13</v>
      </c>
      <c r="D44" s="7"/>
    </row>
    <row r="45" spans="1:6" x14ac:dyDescent="0.25">
      <c r="A45" s="2" t="s">
        <v>14</v>
      </c>
      <c r="B45" s="7">
        <v>7600</v>
      </c>
      <c r="C45" s="7">
        <v>8100</v>
      </c>
      <c r="D45" s="7">
        <v>8300</v>
      </c>
    </row>
    <row r="46" spans="1:6" x14ac:dyDescent="0.25">
      <c r="A46" s="5" t="s">
        <v>26</v>
      </c>
      <c r="B46" s="7">
        <v>1300</v>
      </c>
      <c r="C46" s="7">
        <v>350</v>
      </c>
      <c r="D46" s="7">
        <v>1300</v>
      </c>
    </row>
    <row r="47" spans="1:6" x14ac:dyDescent="0.25">
      <c r="A47" s="5" t="s">
        <v>25</v>
      </c>
      <c r="B47" s="7">
        <v>8700</v>
      </c>
      <c r="C47" s="7">
        <v>9900</v>
      </c>
      <c r="D47" s="7">
        <v>10000</v>
      </c>
    </row>
    <row r="48" spans="1:6" ht="15.6" thickBot="1" x14ac:dyDescent="0.3">
      <c r="A48" s="2" t="s">
        <v>15</v>
      </c>
      <c r="B48" s="8">
        <v>1700</v>
      </c>
      <c r="C48" s="8">
        <v>2200</v>
      </c>
      <c r="D48" s="8">
        <v>2200</v>
      </c>
    </row>
    <row r="49" spans="1:6" s="3" customFormat="1" ht="15.6" x14ac:dyDescent="0.3">
      <c r="A49" s="3" t="s">
        <v>16</v>
      </c>
      <c r="B49" s="38">
        <f>SUM(B45:B48)</f>
        <v>19300</v>
      </c>
      <c r="C49" s="38">
        <f>SUM(C45:C48)</f>
        <v>20550</v>
      </c>
      <c r="D49" s="38">
        <f>SUM(D45:D48)</f>
        <v>21800</v>
      </c>
    </row>
    <row r="50" spans="1:6" s="3" customFormat="1" ht="15.6" x14ac:dyDescent="0.3">
      <c r="A50" s="1" t="s">
        <v>96</v>
      </c>
      <c r="B50" s="38"/>
      <c r="C50" s="38"/>
      <c r="D50" s="38"/>
    </row>
    <row r="51" spans="1:6" s="3" customFormat="1" ht="15.6" x14ac:dyDescent="0.3">
      <c r="A51" s="1" t="s">
        <v>102</v>
      </c>
      <c r="B51" s="38">
        <v>0</v>
      </c>
      <c r="C51" s="38">
        <v>400</v>
      </c>
      <c r="D51" s="38">
        <v>0</v>
      </c>
    </row>
    <row r="52" spans="1:6" s="3" customFormat="1" ht="15.6" x14ac:dyDescent="0.3">
      <c r="A52" s="1" t="s">
        <v>103</v>
      </c>
      <c r="B52" s="38">
        <v>0</v>
      </c>
      <c r="C52" s="38">
        <v>1050</v>
      </c>
      <c r="D52" s="38">
        <v>0</v>
      </c>
    </row>
    <row r="53" spans="1:6" s="3" customFormat="1" ht="15.6" x14ac:dyDescent="0.3">
      <c r="A53" s="1" t="s">
        <v>104</v>
      </c>
      <c r="B53" s="38">
        <v>0</v>
      </c>
      <c r="C53" s="38">
        <v>600</v>
      </c>
      <c r="D53" s="38">
        <v>0</v>
      </c>
    </row>
    <row r="54" spans="1:6" s="3" customFormat="1" ht="15.6" x14ac:dyDescent="0.3">
      <c r="A54" s="1" t="s">
        <v>105</v>
      </c>
      <c r="B54" s="38">
        <v>0</v>
      </c>
      <c r="C54" s="38">
        <v>683</v>
      </c>
      <c r="D54" s="38">
        <v>0</v>
      </c>
    </row>
    <row r="55" spans="1:6" s="3" customFormat="1" ht="15.6" x14ac:dyDescent="0.3">
      <c r="A55" s="1" t="s">
        <v>106</v>
      </c>
      <c r="B55" s="38">
        <v>0</v>
      </c>
      <c r="C55" s="38">
        <v>700</v>
      </c>
      <c r="D55" s="38">
        <v>0</v>
      </c>
    </row>
    <row r="56" spans="1:6" s="3" customFormat="1" ht="16.2" thickBot="1" x14ac:dyDescent="0.35">
      <c r="A56" s="1" t="s">
        <v>107</v>
      </c>
      <c r="B56" s="44">
        <v>0</v>
      </c>
      <c r="C56" s="44">
        <v>4600</v>
      </c>
      <c r="D56" s="44">
        <v>0</v>
      </c>
    </row>
    <row r="57" spans="1:6" ht="16.2" thickBot="1" x14ac:dyDescent="0.35">
      <c r="A57" s="1" t="s">
        <v>108</v>
      </c>
      <c r="B57" s="45">
        <f>SUM(B51:B56)</f>
        <v>0</v>
      </c>
      <c r="C57" s="45">
        <f>SUM(C51:C56)</f>
        <v>8033</v>
      </c>
      <c r="D57" s="45">
        <f>SUM(D51:D56)</f>
        <v>0</v>
      </c>
    </row>
    <row r="58" spans="1:6" s="3" customFormat="1" ht="16.2" thickTop="1" x14ac:dyDescent="0.3">
      <c r="A58" s="3" t="s">
        <v>17</v>
      </c>
      <c r="B58" s="38">
        <f>SUM(B22+B24+B34+B42+B49)</f>
        <v>55105</v>
      </c>
      <c r="C58" s="38">
        <f>SUM(C49+C42+C34+C24+C22)</f>
        <v>53625</v>
      </c>
      <c r="D58" s="38">
        <f>SUM(D22+D24+D34+D42+D49)</f>
        <v>56455</v>
      </c>
    </row>
    <row r="59" spans="1:6" ht="15.6" thickBot="1" x14ac:dyDescent="0.3"/>
    <row r="60" spans="1:6" ht="16.2" thickBot="1" x14ac:dyDescent="0.35">
      <c r="A60" s="97" t="s">
        <v>110</v>
      </c>
      <c r="B60" s="85"/>
      <c r="C60" s="86"/>
      <c r="F60" s="2">
        <v>1150</v>
      </c>
    </row>
    <row r="61" spans="1:6" x14ac:dyDescent="0.25">
      <c r="A61" s="5" t="s">
        <v>40</v>
      </c>
    </row>
  </sheetData>
  <mergeCells count="2">
    <mergeCell ref="A1:D2"/>
    <mergeCell ref="A60:C60"/>
  </mergeCells>
  <pageMargins left="0.75" right="0.75" top="0.52" bottom="0.35" header="0.5" footer="0.5"/>
  <pageSetup scale="79" orientation="portrait" r:id="rId1"/>
  <headerFooter alignWithMargins="0"/>
  <rowBreaks count="1" manualBreakCount="1">
    <brk id="60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11</vt:i4>
      </vt:variant>
    </vt:vector>
  </HeadingPairs>
  <TitlesOfParts>
    <vt:vector size="34" baseType="lpstr">
      <vt:lpstr>reserves 2014 (2)</vt:lpstr>
      <vt:lpstr>2014</vt:lpstr>
      <vt:lpstr>reserves 2015</vt:lpstr>
      <vt:lpstr>2015</vt:lpstr>
      <vt:lpstr>reserves 2016</vt:lpstr>
      <vt:lpstr>2016</vt:lpstr>
      <vt:lpstr>2017</vt:lpstr>
      <vt:lpstr>reserves 2017</vt:lpstr>
      <vt:lpstr>2018</vt:lpstr>
      <vt:lpstr>reserves 2018</vt:lpstr>
      <vt:lpstr>2019</vt:lpstr>
      <vt:lpstr>reserves 2019</vt:lpstr>
      <vt:lpstr>Budget 2020</vt:lpstr>
      <vt:lpstr>reserves 2020</vt:lpstr>
      <vt:lpstr>Budget 2021</vt:lpstr>
      <vt:lpstr>reserves 2021</vt:lpstr>
      <vt:lpstr>Budget 2022</vt:lpstr>
      <vt:lpstr>reserves 2022</vt:lpstr>
      <vt:lpstr>Budget 2023</vt:lpstr>
      <vt:lpstr>reserves 2023</vt:lpstr>
      <vt:lpstr>Budget 2024</vt:lpstr>
      <vt:lpstr>reserves 2024</vt:lpstr>
      <vt:lpstr>reserves revised 2024 (2)</vt:lpstr>
      <vt:lpstr>'2014'!Print_Area</vt:lpstr>
      <vt:lpstr>'2015'!Print_Area</vt:lpstr>
      <vt:lpstr>'2016'!Print_Area</vt:lpstr>
      <vt:lpstr>'2017'!Print_Area</vt:lpstr>
      <vt:lpstr>'2018'!Print_Area</vt:lpstr>
      <vt:lpstr>'2019'!Print_Area</vt:lpstr>
      <vt:lpstr>'Budget 2020'!Print_Area</vt:lpstr>
      <vt:lpstr>'Budget 2021'!Print_Area</vt:lpstr>
      <vt:lpstr>'Budget 2022'!Print_Area</vt:lpstr>
      <vt:lpstr>'Budget 2023'!Print_Area</vt:lpstr>
      <vt:lpstr>'Budget 2024'!Print_Area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</dc:creator>
  <cp:lastModifiedBy>jamie blum</cp:lastModifiedBy>
  <cp:lastPrinted>2023-01-10T11:12:31Z</cp:lastPrinted>
  <dcterms:created xsi:type="dcterms:W3CDTF">2008-11-03T21:45:06Z</dcterms:created>
  <dcterms:modified xsi:type="dcterms:W3CDTF">2024-10-14T13:31:09Z</dcterms:modified>
</cp:coreProperties>
</file>