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/>
  <mc:AlternateContent xmlns:mc="http://schemas.openxmlformats.org/markup-compatibility/2006">
    <mc:Choice Requires="x15">
      <x15ac:absPath xmlns:x15ac="http://schemas.microsoft.com/office/spreadsheetml/2010/11/ac" url="https://d.docs.live.net/c64690517dddf648/Desktop/"/>
    </mc:Choice>
  </mc:AlternateContent>
  <xr:revisionPtr revIDLastSave="0" documentId="8_{29125611-4B13-44BB-8357-0A328C64AB71}" xr6:coauthVersionLast="47" xr6:coauthVersionMax="47" xr10:uidLastSave="{00000000-0000-0000-0000-000000000000}"/>
  <bookViews>
    <workbookView xWindow="-108" yWindow="-108" windowWidth="23256" windowHeight="13896" firstSheet="34" activeTab="35" xr2:uid="{00000000-000D-0000-FFFF-FFFF00000000}"/>
  </bookViews>
  <sheets>
    <sheet name="budget 2010" sheetId="1" r:id="rId1"/>
    <sheet name="reserves 2010" sheetId="2" r:id="rId2"/>
    <sheet name="budget 2011" sheetId="3" r:id="rId3"/>
    <sheet name="reserves 2011)" sheetId="4" r:id="rId4"/>
    <sheet name="budget 2012" sheetId="5" r:id="rId5"/>
    <sheet name="reserves 2012" sheetId="6" r:id="rId6"/>
    <sheet name="budget 2013" sheetId="7" r:id="rId7"/>
    <sheet name="reserves 2013" sheetId="8" r:id="rId8"/>
    <sheet name="budget 2014" sheetId="10" r:id="rId9"/>
    <sheet name="reserves 2014" sheetId="9" r:id="rId10"/>
    <sheet name="budget 2015" sheetId="11" r:id="rId11"/>
    <sheet name="reserves 2015" sheetId="12" r:id="rId12"/>
    <sheet name="LDRCMC assessment 2014" sheetId="13" r:id="rId13"/>
    <sheet name="Sheet1" sheetId="14" r:id="rId14"/>
    <sheet name="budget 2016" sheetId="15" r:id="rId15"/>
    <sheet name="reserves 2016" sheetId="16" r:id="rId16"/>
    <sheet name="Sheet2" sheetId="17" r:id="rId17"/>
    <sheet name="budget 2017" sheetId="18" r:id="rId18"/>
    <sheet name="reserves 2017" sheetId="19" r:id="rId19"/>
    <sheet name="budget 2018" sheetId="20" r:id="rId20"/>
    <sheet name="reserves 2018" sheetId="21" r:id="rId21"/>
    <sheet name="budget 2019" sheetId="22" r:id="rId22"/>
    <sheet name="reserves 2019" sheetId="23" r:id="rId23"/>
    <sheet name="budget 2020" sheetId="24" r:id="rId24"/>
    <sheet name="reserves 2020" sheetId="25" r:id="rId25"/>
    <sheet name="reserves 2021" sheetId="28" r:id="rId26"/>
    <sheet name="budget 2022" sheetId="26" r:id="rId27"/>
    <sheet name="reserves 2022" sheetId="27" r:id="rId28"/>
    <sheet name="Sheet3" sheetId="31" r:id="rId29"/>
    <sheet name="budget 2023" sheetId="29" r:id="rId30"/>
    <sheet name="reserves 2023" sheetId="30" r:id="rId31"/>
    <sheet name="budget 2023 (2)" sheetId="32" r:id="rId32"/>
    <sheet name="reserves 2023 (2)" sheetId="33" r:id="rId33"/>
    <sheet name="reserves 2024" sheetId="35" r:id="rId34"/>
    <sheet name="reserves 2025" sheetId="36" r:id="rId35"/>
    <sheet name="budget 2024" sheetId="34" r:id="rId36"/>
    <sheet name="budget 2025" sheetId="37" r:id="rId37"/>
  </sheets>
  <externalReferences>
    <externalReference r:id="rId38"/>
  </externalReferences>
  <definedNames>
    <definedName name="_xlnm.Print_Area" localSheetId="0">'budget 2010'!$A$1:$D$59</definedName>
    <definedName name="_xlnm.Print_Area" localSheetId="2">'budget 2011'!$A$1:$E$56</definedName>
    <definedName name="_xlnm.Print_Area" localSheetId="4">'budget 2012'!$A$1:$E$62</definedName>
    <definedName name="_xlnm.Print_Area" localSheetId="6">'budget 2013'!$A$1:$E$54</definedName>
    <definedName name="_xlnm.Print_Area" localSheetId="8">'budget 2014'!$A$1:$D$52</definedName>
    <definedName name="_xlnm.Print_Area" localSheetId="10">'budget 2015'!$A$1:$D$52</definedName>
    <definedName name="_xlnm.Print_Area" localSheetId="14">'budget 2016'!$A$1:$D$51</definedName>
    <definedName name="_xlnm.Print_Area" localSheetId="17">'budget 2017'!$A$1:$D$51</definedName>
    <definedName name="_xlnm.Print_Area" localSheetId="19">'budget 2018'!$A$1:$D$51</definedName>
    <definedName name="_xlnm.Print_Area" localSheetId="21">'budget 2019'!$A$1:$D$51</definedName>
    <definedName name="_xlnm.Print_Area" localSheetId="23">'budget 2020'!$A$1:$D$51</definedName>
    <definedName name="_xlnm.Print_Area" localSheetId="26">'budget 2022'!$A$1:$D$50</definedName>
    <definedName name="_xlnm.Print_Area" localSheetId="29">'budget 2023'!$A$1:$D$51</definedName>
    <definedName name="_xlnm.Print_Area" localSheetId="31">'budget 2023 (2)'!$A$1:$D$51</definedName>
    <definedName name="_xlnm.Print_Area" localSheetId="35">'budget 2024'!$A$1:$D$51</definedName>
    <definedName name="_xlnm.Print_Area" localSheetId="36">'budget 2025'!$A$1:$D$51</definedName>
    <definedName name="_xlnm.Print_Area" localSheetId="1">'reserves 2010'!$A$1:$H$37</definedName>
    <definedName name="_xlnm.Print_Area" localSheetId="3">'reserves 2011)'!$A$1:$I$37</definedName>
    <definedName name="_xlnm.Print_Area" localSheetId="5">'reserves 2012'!$A$1:$I$27</definedName>
    <definedName name="_xlnm.Print_Area" localSheetId="7">'reserves 2013'!$A$1:$J$27</definedName>
    <definedName name="_xlnm.Print_Area" localSheetId="9">'reserves 2014'!$A$1:$I$27</definedName>
    <definedName name="_xlnm.Print_Area" localSheetId="11">'reserves 2015'!$A$1:$I$42</definedName>
    <definedName name="_xlnm.Print_Area" localSheetId="15">'reserves 2016'!$A$1:$I$31</definedName>
    <definedName name="_xlnm.Print_Area" localSheetId="18">'reserves 2017'!$A$1:$I$31</definedName>
    <definedName name="_xlnm.Print_Area" localSheetId="20">'reserves 2018'!$A$1:$I$31</definedName>
    <definedName name="_xlnm.Print_Area" localSheetId="22">'reserves 2019'!$A$1:$I$31</definedName>
    <definedName name="_xlnm.Print_Area" localSheetId="24">'reserves 2020'!$A$1:$I$31</definedName>
    <definedName name="_xlnm.Print_Area" localSheetId="25">'reserves 2021'!$A$1:$I$32</definedName>
    <definedName name="_xlnm.Print_Area" localSheetId="27">'reserves 2022'!$A$1:$I$32</definedName>
    <definedName name="_xlnm.Print_Area" localSheetId="30">'reserves 2023'!$A$1:$I$32</definedName>
    <definedName name="_xlnm.Print_Area" localSheetId="32">'reserves 2023 (2)'!$A$1:$I$32</definedName>
    <definedName name="_xlnm.Print_Area" localSheetId="33">'reserves 2024'!$A$1:$I$32</definedName>
    <definedName name="_xlnm.Print_Area" localSheetId="34">'reserves 2025'!$A$1:$I$32</definedName>
  </definedNames>
  <calcPr calcId="191029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I23" i="36" l="1"/>
  <c r="I22" i="36"/>
  <c r="I21" i="36"/>
  <c r="H23" i="36"/>
  <c r="H22" i="36"/>
  <c r="H21" i="36"/>
  <c r="J16" i="36"/>
  <c r="H15" i="36"/>
  <c r="H14" i="36"/>
  <c r="H13" i="36"/>
  <c r="H12" i="36"/>
  <c r="H11" i="36"/>
  <c r="H10" i="36"/>
  <c r="H9" i="36"/>
  <c r="H8" i="36"/>
  <c r="H7" i="36"/>
  <c r="H6" i="36"/>
  <c r="I16" i="36"/>
  <c r="M45" i="37"/>
  <c r="H43" i="37"/>
  <c r="C43" i="37"/>
  <c r="H42" i="37"/>
  <c r="D41" i="37"/>
  <c r="C41" i="37"/>
  <c r="B41" i="37"/>
  <c r="B45" i="37" s="1"/>
  <c r="B36" i="37"/>
  <c r="D32" i="37"/>
  <c r="D36" i="37" s="1"/>
  <c r="D45" i="37" s="1"/>
  <c r="C31" i="37"/>
  <c r="C36" i="37" s="1"/>
  <c r="F30" i="37"/>
  <c r="E28" i="37"/>
  <c r="F28" i="37" s="1"/>
  <c r="C28" i="37"/>
  <c r="D26" i="37"/>
  <c r="B26" i="37"/>
  <c r="G24" i="37"/>
  <c r="C24" i="37"/>
  <c r="C26" i="37" s="1"/>
  <c r="D18" i="37"/>
  <c r="C18" i="37"/>
  <c r="B18" i="37"/>
  <c r="B8" i="37"/>
  <c r="C6" i="37"/>
  <c r="C8" i="37" s="1"/>
  <c r="C23" i="36"/>
  <c r="C22" i="36"/>
  <c r="C21" i="36"/>
  <c r="D16" i="36"/>
  <c r="C16" i="36"/>
  <c r="E15" i="36"/>
  <c r="G15" i="36" s="1"/>
  <c r="E14" i="36"/>
  <c r="G14" i="36" s="1"/>
  <c r="E13" i="36"/>
  <c r="G13" i="36" s="1"/>
  <c r="E12" i="36"/>
  <c r="G12" i="36" s="1"/>
  <c r="G11" i="36"/>
  <c r="G10" i="36"/>
  <c r="E9" i="36"/>
  <c r="G9" i="36" s="1"/>
  <c r="E8" i="36"/>
  <c r="G8" i="36" s="1"/>
  <c r="E7" i="36"/>
  <c r="G7" i="36" s="1"/>
  <c r="E6" i="36"/>
  <c r="G6" i="36" s="1"/>
  <c r="H18" i="35"/>
  <c r="H15" i="35"/>
  <c r="H14" i="35"/>
  <c r="H13" i="35"/>
  <c r="H12" i="35"/>
  <c r="H11" i="35"/>
  <c r="H10" i="35"/>
  <c r="H9" i="35"/>
  <c r="H8" i="35"/>
  <c r="H7" i="35"/>
  <c r="H6" i="35"/>
  <c r="H16" i="36" l="1"/>
  <c r="F22" i="36" s="1"/>
  <c r="G22" i="36" s="1"/>
  <c r="G16" i="36"/>
  <c r="D23" i="36" s="1"/>
  <c r="C45" i="37"/>
  <c r="C50" i="37"/>
  <c r="D50" i="37" s="1"/>
  <c r="C49" i="37"/>
  <c r="D49" i="37" s="1"/>
  <c r="C48" i="37"/>
  <c r="D48" i="37" s="1"/>
  <c r="D5" i="37"/>
  <c r="D8" i="37" s="1"/>
  <c r="C28" i="34"/>
  <c r="D32" i="34"/>
  <c r="D36" i="34" s="1"/>
  <c r="D16" i="35"/>
  <c r="C16" i="35"/>
  <c r="E15" i="35"/>
  <c r="G15" i="35" s="1"/>
  <c r="E14" i="35"/>
  <c r="G14" i="35" s="1"/>
  <c r="E13" i="35"/>
  <c r="G13" i="35" s="1"/>
  <c r="E12" i="35"/>
  <c r="G12" i="35" s="1"/>
  <c r="G11" i="35"/>
  <c r="G10" i="35"/>
  <c r="E9" i="35"/>
  <c r="G9" i="35" s="1"/>
  <c r="E8" i="35"/>
  <c r="G8" i="35" s="1"/>
  <c r="E7" i="35"/>
  <c r="G7" i="35" s="1"/>
  <c r="H16" i="35"/>
  <c r="E6" i="35"/>
  <c r="G6" i="35" s="1"/>
  <c r="G16" i="35" s="1"/>
  <c r="M45" i="34"/>
  <c r="H43" i="34"/>
  <c r="C43" i="34"/>
  <c r="H42" i="34"/>
  <c r="D41" i="34"/>
  <c r="C41" i="34"/>
  <c r="B41" i="34"/>
  <c r="B36" i="34"/>
  <c r="C31" i="34"/>
  <c r="C36" i="34" s="1"/>
  <c r="F30" i="34"/>
  <c r="E28" i="34"/>
  <c r="D26" i="34"/>
  <c r="B26" i="34"/>
  <c r="G24" i="34"/>
  <c r="C24" i="34"/>
  <c r="C26" i="34" s="1"/>
  <c r="D18" i="34"/>
  <c r="C18" i="34"/>
  <c r="B18" i="34"/>
  <c r="C6" i="34"/>
  <c r="C8" i="34" s="1"/>
  <c r="M45" i="32"/>
  <c r="H43" i="32"/>
  <c r="H42" i="32"/>
  <c r="F30" i="32"/>
  <c r="C23" i="33"/>
  <c r="C22" i="33"/>
  <c r="C21" i="33"/>
  <c r="D16" i="33"/>
  <c r="C16" i="33"/>
  <c r="H15" i="33"/>
  <c r="G15" i="33"/>
  <c r="E15" i="33"/>
  <c r="H14" i="33"/>
  <c r="E14" i="33"/>
  <c r="G14" i="33" s="1"/>
  <c r="H13" i="33"/>
  <c r="E13" i="33"/>
  <c r="G13" i="33" s="1"/>
  <c r="H12" i="33"/>
  <c r="E12" i="33"/>
  <c r="G12" i="33" s="1"/>
  <c r="H11" i="33"/>
  <c r="G11" i="33"/>
  <c r="H10" i="33"/>
  <c r="G10" i="33"/>
  <c r="H9" i="33"/>
  <c r="G9" i="33"/>
  <c r="E9" i="33"/>
  <c r="H8" i="33"/>
  <c r="E8" i="33"/>
  <c r="G8" i="33" s="1"/>
  <c r="H7" i="33"/>
  <c r="E7" i="33"/>
  <c r="G7" i="33" s="1"/>
  <c r="H6" i="33"/>
  <c r="H16" i="33" s="1"/>
  <c r="E6" i="33"/>
  <c r="G6" i="33" s="1"/>
  <c r="C43" i="32"/>
  <c r="D41" i="32"/>
  <c r="D45" i="32" s="1"/>
  <c r="C41" i="32"/>
  <c r="C45" i="32" s="1"/>
  <c r="B41" i="32"/>
  <c r="B45" i="32" s="1"/>
  <c r="B5" i="32" s="1"/>
  <c r="B8" i="32" s="1"/>
  <c r="D36" i="32"/>
  <c r="C36" i="32"/>
  <c r="B36" i="32"/>
  <c r="C32" i="32"/>
  <c r="C31" i="32"/>
  <c r="E28" i="32"/>
  <c r="F28" i="32" s="1"/>
  <c r="D26" i="32"/>
  <c r="C26" i="32"/>
  <c r="B26" i="32"/>
  <c r="B25" i="32"/>
  <c r="G24" i="32"/>
  <c r="C24" i="32"/>
  <c r="D18" i="32"/>
  <c r="C18" i="32"/>
  <c r="B18" i="32"/>
  <c r="C8" i="32"/>
  <c r="C6" i="32"/>
  <c r="F28" i="29"/>
  <c r="E28" i="29"/>
  <c r="H16" i="30"/>
  <c r="I18" i="30" s="1"/>
  <c r="H15" i="30"/>
  <c r="H14" i="30"/>
  <c r="H13" i="30"/>
  <c r="H12" i="30"/>
  <c r="H11" i="30"/>
  <c r="H10" i="30"/>
  <c r="H9" i="30"/>
  <c r="H8" i="30"/>
  <c r="H7" i="30"/>
  <c r="H6" i="30"/>
  <c r="C6" i="29"/>
  <c r="C8" i="29" s="1"/>
  <c r="C43" i="29"/>
  <c r="D36" i="29"/>
  <c r="B25" i="29"/>
  <c r="B26" i="29" s="1"/>
  <c r="B18" i="29"/>
  <c r="D16" i="30"/>
  <c r="C16" i="30"/>
  <c r="E15" i="30"/>
  <c r="G15" i="30" s="1"/>
  <c r="E14" i="30"/>
  <c r="G14" i="30" s="1"/>
  <c r="E13" i="30"/>
  <c r="G13" i="30" s="1"/>
  <c r="E12" i="30"/>
  <c r="G12" i="30" s="1"/>
  <c r="G11" i="30"/>
  <c r="G10" i="30"/>
  <c r="E9" i="30"/>
  <c r="G9" i="30" s="1"/>
  <c r="E8" i="30"/>
  <c r="G8" i="30" s="1"/>
  <c r="E7" i="30"/>
  <c r="G7" i="30" s="1"/>
  <c r="E6" i="30"/>
  <c r="G6" i="30" s="1"/>
  <c r="C41" i="29"/>
  <c r="B41" i="29"/>
  <c r="D41" i="29"/>
  <c r="B36" i="29"/>
  <c r="C32" i="29"/>
  <c r="C31" i="29"/>
  <c r="C36" i="29" s="1"/>
  <c r="D26" i="29"/>
  <c r="G24" i="29"/>
  <c r="C24" i="29"/>
  <c r="C26" i="29" s="1"/>
  <c r="D18" i="29"/>
  <c r="C18" i="29"/>
  <c r="I19" i="27"/>
  <c r="D38" i="26"/>
  <c r="C23" i="26"/>
  <c r="D40" i="26"/>
  <c r="D35" i="26"/>
  <c r="D25" i="26"/>
  <c r="D17" i="26"/>
  <c r="D44" i="26"/>
  <c r="C49" i="26"/>
  <c r="C23" i="27"/>
  <c r="G23" i="27"/>
  <c r="C48" i="26"/>
  <c r="C22" i="27"/>
  <c r="G22" i="27"/>
  <c r="F22" i="27"/>
  <c r="F23" i="27"/>
  <c r="C47" i="26"/>
  <c r="C21" i="27"/>
  <c r="G21" i="27"/>
  <c r="C30" i="26"/>
  <c r="D24" i="26"/>
  <c r="G23" i="26"/>
  <c r="C10" i="26"/>
  <c r="E6" i="28"/>
  <c r="G6" i="28"/>
  <c r="H6" i="28"/>
  <c r="E7" i="28"/>
  <c r="G7" i="28"/>
  <c r="H7" i="28"/>
  <c r="E8" i="28"/>
  <c r="G8" i="28"/>
  <c r="H8" i="28"/>
  <c r="E9" i="28"/>
  <c r="G9" i="28"/>
  <c r="H9" i="28"/>
  <c r="G10" i="28"/>
  <c r="H10" i="28"/>
  <c r="G11" i="28"/>
  <c r="H11" i="28"/>
  <c r="E12" i="28"/>
  <c r="G12" i="28"/>
  <c r="H12" i="28"/>
  <c r="E13" i="28"/>
  <c r="G13" i="28"/>
  <c r="H13" i="28"/>
  <c r="E14" i="28"/>
  <c r="G14" i="28"/>
  <c r="H14" i="28"/>
  <c r="E15" i="28"/>
  <c r="G15" i="28"/>
  <c r="H15" i="28"/>
  <c r="C16" i="28"/>
  <c r="D16" i="28"/>
  <c r="G16" i="28"/>
  <c r="H16" i="28"/>
  <c r="I19" i="28"/>
  <c r="C21" i="28"/>
  <c r="D21" i="28"/>
  <c r="E21" i="28"/>
  <c r="F21" i="28"/>
  <c r="C22" i="28"/>
  <c r="D22" i="28"/>
  <c r="E22" i="28"/>
  <c r="F22" i="28"/>
  <c r="C23" i="28"/>
  <c r="D23" i="28"/>
  <c r="E23" i="28"/>
  <c r="F23" i="28"/>
  <c r="F21" i="27"/>
  <c r="H6" i="27"/>
  <c r="H7" i="27"/>
  <c r="H8" i="27"/>
  <c r="H9" i="27"/>
  <c r="H10" i="27"/>
  <c r="H11" i="27"/>
  <c r="H12" i="27"/>
  <c r="H13" i="27"/>
  <c r="H14" i="27"/>
  <c r="H15" i="27"/>
  <c r="H16" i="27"/>
  <c r="G10" i="27"/>
  <c r="D47" i="26"/>
  <c r="D48" i="26"/>
  <c r="D49" i="26"/>
  <c r="D50" i="26"/>
  <c r="C31" i="26"/>
  <c r="C25" i="26"/>
  <c r="C7" i="26"/>
  <c r="B40" i="26"/>
  <c r="B35" i="26"/>
  <c r="B25" i="26"/>
  <c r="B17" i="26"/>
  <c r="B44" i="26"/>
  <c r="B7" i="26"/>
  <c r="D5" i="26"/>
  <c r="D16" i="27"/>
  <c r="C16" i="27"/>
  <c r="E15" i="27"/>
  <c r="G15" i="27"/>
  <c r="E14" i="27"/>
  <c r="G14" i="27"/>
  <c r="E13" i="27"/>
  <c r="G13" i="27"/>
  <c r="E12" i="27"/>
  <c r="G12" i="27"/>
  <c r="G11" i="27"/>
  <c r="E9" i="27"/>
  <c r="G9" i="27"/>
  <c r="E8" i="27"/>
  <c r="G8" i="27"/>
  <c r="E7" i="27"/>
  <c r="G7" i="27"/>
  <c r="E6" i="27"/>
  <c r="G6" i="27"/>
  <c r="C42" i="26"/>
  <c r="C40" i="26"/>
  <c r="C35" i="26"/>
  <c r="C17" i="26"/>
  <c r="C44" i="26"/>
  <c r="G16" i="27"/>
  <c r="D7" i="26"/>
  <c r="E6" i="25"/>
  <c r="G6" i="25"/>
  <c r="E7" i="25"/>
  <c r="G7" i="25"/>
  <c r="H7" i="25"/>
  <c r="E8" i="25"/>
  <c r="G8" i="25"/>
  <c r="H8" i="25"/>
  <c r="E9" i="25"/>
  <c r="G9" i="25"/>
  <c r="H9" i="25"/>
  <c r="G10" i="25"/>
  <c r="H10" i="25"/>
  <c r="E11" i="25"/>
  <c r="G11" i="25"/>
  <c r="H11" i="25"/>
  <c r="E12" i="25"/>
  <c r="G12" i="25"/>
  <c r="H12" i="25"/>
  <c r="E13" i="25"/>
  <c r="G13" i="25"/>
  <c r="H13" i="25"/>
  <c r="E14" i="25"/>
  <c r="G14" i="25"/>
  <c r="H14" i="25"/>
  <c r="C43" i="24"/>
  <c r="C23" i="24"/>
  <c r="B44" i="24"/>
  <c r="B43" i="24"/>
  <c r="B41" i="24"/>
  <c r="B45" i="24"/>
  <c r="B5" i="24"/>
  <c r="B7" i="24"/>
  <c r="B36" i="24"/>
  <c r="B26" i="24"/>
  <c r="B17" i="24"/>
  <c r="D15" i="25"/>
  <c r="C15" i="25"/>
  <c r="D41" i="24"/>
  <c r="C41" i="24"/>
  <c r="C45" i="24"/>
  <c r="D36" i="24"/>
  <c r="C36" i="24"/>
  <c r="C28" i="24"/>
  <c r="D26" i="24"/>
  <c r="C26" i="24"/>
  <c r="D17" i="24"/>
  <c r="C17" i="24"/>
  <c r="C7" i="24"/>
  <c r="D45" i="24"/>
  <c r="C48" i="24"/>
  <c r="C20" i="25"/>
  <c r="E32" i="22"/>
  <c r="D5" i="24"/>
  <c r="D7" i="24"/>
  <c r="C32" i="22"/>
  <c r="C24" i="22"/>
  <c r="C22" i="22"/>
  <c r="C39" i="22"/>
  <c r="C31" i="22"/>
  <c r="C36" i="22"/>
  <c r="C45" i="22"/>
  <c r="C28" i="22"/>
  <c r="G28" i="22"/>
  <c r="C25" i="22"/>
  <c r="C20" i="22"/>
  <c r="C15" i="22"/>
  <c r="C16" i="22"/>
  <c r="C14" i="22"/>
  <c r="C13" i="22"/>
  <c r="C5" i="22"/>
  <c r="E6" i="23"/>
  <c r="G6" i="23"/>
  <c r="E7" i="23"/>
  <c r="G7" i="23"/>
  <c r="H7" i="23"/>
  <c r="E8" i="23"/>
  <c r="G8" i="23"/>
  <c r="H8" i="23"/>
  <c r="E9" i="23"/>
  <c r="G9" i="23"/>
  <c r="H9" i="23"/>
  <c r="E10" i="23"/>
  <c r="G10" i="23"/>
  <c r="H10" i="23"/>
  <c r="E11" i="23"/>
  <c r="G11" i="23"/>
  <c r="H11" i="23"/>
  <c r="E12" i="23"/>
  <c r="G12" i="23"/>
  <c r="H12" i="23"/>
  <c r="E13" i="23"/>
  <c r="G13" i="23"/>
  <c r="H13" i="23"/>
  <c r="E14" i="23"/>
  <c r="G14" i="23"/>
  <c r="H14" i="23"/>
  <c r="D15" i="23"/>
  <c r="C15" i="23"/>
  <c r="D41" i="22"/>
  <c r="D36" i="22"/>
  <c r="D26" i="22"/>
  <c r="D17" i="22"/>
  <c r="C41" i="22"/>
  <c r="C7" i="22"/>
  <c r="D24" i="20"/>
  <c r="D26" i="20"/>
  <c r="E12" i="21"/>
  <c r="G12" i="21"/>
  <c r="H12" i="21"/>
  <c r="D15" i="21"/>
  <c r="C15" i="21"/>
  <c r="E14" i="21"/>
  <c r="G14" i="21"/>
  <c r="H14" i="21"/>
  <c r="E13" i="21"/>
  <c r="G13" i="21"/>
  <c r="H13" i="21"/>
  <c r="E11" i="21"/>
  <c r="G11" i="21"/>
  <c r="H11" i="21"/>
  <c r="E10" i="21"/>
  <c r="G10" i="21"/>
  <c r="H10" i="21"/>
  <c r="E9" i="21"/>
  <c r="G9" i="21"/>
  <c r="H9" i="21"/>
  <c r="E7" i="21"/>
  <c r="G7" i="21"/>
  <c r="H7" i="21"/>
  <c r="E6" i="21"/>
  <c r="G6" i="21"/>
  <c r="D41" i="20"/>
  <c r="C41" i="20"/>
  <c r="C45" i="20"/>
  <c r="D36" i="20"/>
  <c r="C36" i="20"/>
  <c r="G28" i="20"/>
  <c r="C26" i="20"/>
  <c r="D17" i="20"/>
  <c r="C17" i="20"/>
  <c r="C7" i="20"/>
  <c r="E8" i="21"/>
  <c r="G8" i="21"/>
  <c r="H8" i="21"/>
  <c r="D5" i="18"/>
  <c r="D7" i="18"/>
  <c r="C20" i="18"/>
  <c r="D15" i="19"/>
  <c r="C15" i="19"/>
  <c r="E14" i="19"/>
  <c r="G14" i="19"/>
  <c r="H14" i="19"/>
  <c r="E9" i="19"/>
  <c r="G9" i="19"/>
  <c r="H9" i="19"/>
  <c r="C43" i="18"/>
  <c r="C41" i="18"/>
  <c r="D41" i="18"/>
  <c r="D36" i="18"/>
  <c r="C36" i="18"/>
  <c r="C45" i="18"/>
  <c r="G28" i="18"/>
  <c r="C26" i="18"/>
  <c r="D26" i="18"/>
  <c r="D17" i="18"/>
  <c r="C17" i="18"/>
  <c r="C7" i="18"/>
  <c r="D5" i="15"/>
  <c r="C48" i="15"/>
  <c r="C20" i="16"/>
  <c r="C50" i="15"/>
  <c r="C22" i="16"/>
  <c r="E13" i="16"/>
  <c r="E12" i="16"/>
  <c r="E11" i="16"/>
  <c r="G11" i="16"/>
  <c r="H11" i="16"/>
  <c r="E10" i="16"/>
  <c r="E8" i="16"/>
  <c r="G8" i="16"/>
  <c r="H8" i="16"/>
  <c r="E7" i="16"/>
  <c r="G7" i="16"/>
  <c r="E14" i="16"/>
  <c r="G14" i="16"/>
  <c r="H14" i="16"/>
  <c r="E9" i="16"/>
  <c r="G9" i="16"/>
  <c r="H9" i="16"/>
  <c r="E6" i="16"/>
  <c r="F15" i="16"/>
  <c r="G6" i="16"/>
  <c r="H6" i="16"/>
  <c r="D40" i="15"/>
  <c r="D23" i="15"/>
  <c r="C15" i="16"/>
  <c r="C43" i="15"/>
  <c r="D41" i="15"/>
  <c r="C41" i="15"/>
  <c r="D32" i="15"/>
  <c r="D36" i="15"/>
  <c r="D45" i="15"/>
  <c r="C31" i="15"/>
  <c r="C36" i="15"/>
  <c r="G28" i="15"/>
  <c r="D26" i="15"/>
  <c r="C26" i="15"/>
  <c r="D17" i="15"/>
  <c r="C17" i="15"/>
  <c r="C7" i="15"/>
  <c r="E6" i="14"/>
  <c r="E5" i="14"/>
  <c r="E4" i="14"/>
  <c r="C35" i="12"/>
  <c r="C34" i="12"/>
  <c r="C33" i="12"/>
  <c r="C7" i="13"/>
  <c r="D7" i="13"/>
  <c r="C6" i="13"/>
  <c r="D6" i="13"/>
  <c r="C5" i="13"/>
  <c r="D5" i="13"/>
  <c r="D5" i="11"/>
  <c r="C51" i="11"/>
  <c r="C22" i="12"/>
  <c r="G29" i="11"/>
  <c r="E15" i="12"/>
  <c r="K19" i="12"/>
  <c r="C44" i="11"/>
  <c r="C32" i="11"/>
  <c r="C37" i="11"/>
  <c r="C21" i="11"/>
  <c r="C27" i="11"/>
  <c r="C15" i="12"/>
  <c r="G14" i="12"/>
  <c r="H14" i="12"/>
  <c r="D13" i="12"/>
  <c r="G11" i="12"/>
  <c r="H11" i="12"/>
  <c r="D10" i="12"/>
  <c r="E9" i="12"/>
  <c r="G9" i="12"/>
  <c r="H9" i="12"/>
  <c r="D42" i="11"/>
  <c r="C42" i="11"/>
  <c r="D33" i="11"/>
  <c r="D37" i="11"/>
  <c r="D46" i="11"/>
  <c r="D24" i="11"/>
  <c r="D27" i="11"/>
  <c r="D18" i="11"/>
  <c r="C18" i="11"/>
  <c r="C7" i="11"/>
  <c r="D33" i="10"/>
  <c r="C21" i="10"/>
  <c r="C27" i="10"/>
  <c r="D37" i="10"/>
  <c r="D42" i="10"/>
  <c r="C42" i="10"/>
  <c r="C37" i="10"/>
  <c r="D24" i="10"/>
  <c r="D27" i="10"/>
  <c r="C18" i="10"/>
  <c r="C46" i="10"/>
  <c r="D18" i="10"/>
  <c r="D46" i="10"/>
  <c r="C7" i="10"/>
  <c r="E9" i="9"/>
  <c r="E15" i="9"/>
  <c r="E8" i="9"/>
  <c r="G8" i="9"/>
  <c r="C15" i="9"/>
  <c r="G14" i="9"/>
  <c r="H14" i="9"/>
  <c r="D13" i="9"/>
  <c r="G11" i="9"/>
  <c r="H11" i="9"/>
  <c r="D10" i="9"/>
  <c r="G9" i="9"/>
  <c r="H9" i="9"/>
  <c r="I9" i="9"/>
  <c r="E46" i="7"/>
  <c r="E45" i="7"/>
  <c r="E44" i="7"/>
  <c r="E42" i="7"/>
  <c r="E41" i="7"/>
  <c r="E40" i="7"/>
  <c r="E39" i="7"/>
  <c r="E37" i="7"/>
  <c r="E36" i="7"/>
  <c r="E35" i="7"/>
  <c r="E34" i="7"/>
  <c r="E33" i="7"/>
  <c r="E32" i="7"/>
  <c r="E31" i="7"/>
  <c r="E30" i="7"/>
  <c r="E29" i="7"/>
  <c r="E27" i="7"/>
  <c r="E26" i="7"/>
  <c r="E24" i="7"/>
  <c r="E23" i="7"/>
  <c r="E22" i="7"/>
  <c r="E21" i="7"/>
  <c r="E20" i="7"/>
  <c r="E18" i="7"/>
  <c r="E17" i="7"/>
  <c r="E16" i="7"/>
  <c r="E15" i="7"/>
  <c r="E14" i="7"/>
  <c r="E13" i="7"/>
  <c r="E12" i="7"/>
  <c r="E11" i="7"/>
  <c r="E5" i="7"/>
  <c r="J19" i="8"/>
  <c r="C53" i="7"/>
  <c r="C52" i="7"/>
  <c r="C51" i="7"/>
  <c r="D10" i="7"/>
  <c r="E10" i="7"/>
  <c r="D7" i="7"/>
  <c r="C22" i="8"/>
  <c r="C21" i="8"/>
  <c r="C20" i="8"/>
  <c r="F15" i="8"/>
  <c r="F12" i="8"/>
  <c r="H12" i="8"/>
  <c r="H14" i="8"/>
  <c r="J14" i="8"/>
  <c r="C34" i="7"/>
  <c r="C26" i="7"/>
  <c r="C28" i="7"/>
  <c r="C47" i="7"/>
  <c r="E38" i="8"/>
  <c r="E37" i="8"/>
  <c r="E36" i="8"/>
  <c r="D15" i="8"/>
  <c r="E13" i="8"/>
  <c r="H11" i="8"/>
  <c r="J11" i="8"/>
  <c r="E10" i="8"/>
  <c r="H9" i="8"/>
  <c r="F8" i="8"/>
  <c r="H8" i="8"/>
  <c r="F7" i="8"/>
  <c r="H7" i="8"/>
  <c r="F6" i="8"/>
  <c r="H6" i="8"/>
  <c r="D43" i="7"/>
  <c r="E43" i="7"/>
  <c r="C43" i="7"/>
  <c r="D38" i="7"/>
  <c r="E38" i="7"/>
  <c r="C38" i="7"/>
  <c r="D25" i="7"/>
  <c r="D28" i="7"/>
  <c r="E28" i="7"/>
  <c r="C19" i="7"/>
  <c r="C7" i="7"/>
  <c r="D44" i="5"/>
  <c r="D39" i="5"/>
  <c r="D26" i="5"/>
  <c r="D29" i="5"/>
  <c r="C20" i="5"/>
  <c r="C44" i="5"/>
  <c r="C23" i="5"/>
  <c r="C29" i="5"/>
  <c r="C9" i="5"/>
  <c r="G11" i="6"/>
  <c r="G9" i="6"/>
  <c r="I9" i="6"/>
  <c r="E15" i="6"/>
  <c r="D41" i="6"/>
  <c r="D40" i="6"/>
  <c r="D39" i="6"/>
  <c r="C15" i="6"/>
  <c r="D13" i="6"/>
  <c r="D15" i="6"/>
  <c r="D10" i="6"/>
  <c r="H9" i="6"/>
  <c r="B59" i="5"/>
  <c r="B58" i="5"/>
  <c r="B57" i="5"/>
  <c r="C34" i="5"/>
  <c r="C39" i="5"/>
  <c r="C48" i="5"/>
  <c r="D20" i="5"/>
  <c r="D9" i="5"/>
  <c r="H9" i="4"/>
  <c r="I12" i="4"/>
  <c r="I9" i="4"/>
  <c r="H41" i="4"/>
  <c r="H40" i="4"/>
  <c r="H39" i="4"/>
  <c r="B61" i="3"/>
  <c r="B60" i="3"/>
  <c r="B59" i="3"/>
  <c r="C44" i="3"/>
  <c r="C45" i="3"/>
  <c r="C36" i="3"/>
  <c r="C40" i="3"/>
  <c r="C35" i="3"/>
  <c r="C27" i="3"/>
  <c r="C23" i="3"/>
  <c r="C28" i="3"/>
  <c r="E15" i="4"/>
  <c r="C15" i="4"/>
  <c r="D14" i="4"/>
  <c r="E14" i="4"/>
  <c r="G14" i="4"/>
  <c r="D13" i="4"/>
  <c r="H12" i="4"/>
  <c r="D12" i="4"/>
  <c r="E12" i="4"/>
  <c r="D11" i="4"/>
  <c r="E11" i="4"/>
  <c r="G11" i="4"/>
  <c r="D10" i="4"/>
  <c r="E10" i="4"/>
  <c r="G10" i="4"/>
  <c r="D9" i="4"/>
  <c r="E7" i="4"/>
  <c r="G7" i="4"/>
  <c r="I7" i="4"/>
  <c r="D45" i="3"/>
  <c r="D49" i="3"/>
  <c r="D40" i="3"/>
  <c r="D26" i="3"/>
  <c r="D20" i="3"/>
  <c r="C20" i="3"/>
  <c r="C9" i="3"/>
  <c r="D8" i="1"/>
  <c r="D10" i="1"/>
  <c r="E15" i="2"/>
  <c r="D10" i="2"/>
  <c r="D11" i="2"/>
  <c r="D13" i="2"/>
  <c r="D14" i="2"/>
  <c r="E14" i="2"/>
  <c r="G14" i="2"/>
  <c r="H14" i="2"/>
  <c r="D46" i="1"/>
  <c r="D47" i="1"/>
  <c r="D27" i="1"/>
  <c r="B8" i="1"/>
  <c r="B9" i="1"/>
  <c r="C8" i="1"/>
  <c r="C9" i="1"/>
  <c r="H39" i="2"/>
  <c r="H40" i="2"/>
  <c r="H41" i="2"/>
  <c r="C15" i="2"/>
  <c r="H12" i="2"/>
  <c r="D30" i="1"/>
  <c r="D38" i="1"/>
  <c r="D42" i="1"/>
  <c r="D28" i="1"/>
  <c r="D31" i="1"/>
  <c r="D29" i="1"/>
  <c r="D22" i="1"/>
  <c r="C38" i="1"/>
  <c r="C42" i="1"/>
  <c r="C52" i="1"/>
  <c r="D9" i="2"/>
  <c r="D12" i="2"/>
  <c r="C22" i="1"/>
  <c r="C31" i="1"/>
  <c r="C47" i="1"/>
  <c r="B22" i="1"/>
  <c r="B42" i="1"/>
  <c r="B47" i="1"/>
  <c r="B31" i="1"/>
  <c r="D9" i="3"/>
  <c r="D29" i="3"/>
  <c r="E6" i="4"/>
  <c r="G6" i="4"/>
  <c r="E8" i="4"/>
  <c r="G8" i="4"/>
  <c r="E9" i="4"/>
  <c r="H14" i="6"/>
  <c r="I14" i="6"/>
  <c r="E10" i="6"/>
  <c r="G10" i="6"/>
  <c r="I11" i="8"/>
  <c r="F10" i="8"/>
  <c r="H10" i="8"/>
  <c r="I14" i="9"/>
  <c r="E6" i="9"/>
  <c r="G6" i="9"/>
  <c r="E12" i="9"/>
  <c r="G12" i="9"/>
  <c r="E7" i="9"/>
  <c r="G7" i="9"/>
  <c r="I7" i="9"/>
  <c r="E10" i="9"/>
  <c r="G10" i="9"/>
  <c r="E13" i="9"/>
  <c r="G13" i="9"/>
  <c r="D45" i="18"/>
  <c r="H7" i="9"/>
  <c r="E25" i="7"/>
  <c r="G10" i="16"/>
  <c r="H10" i="16"/>
  <c r="D15" i="16"/>
  <c r="D7" i="15"/>
  <c r="C49" i="15"/>
  <c r="C21" i="16"/>
  <c r="C49" i="11"/>
  <c r="C20" i="12"/>
  <c r="G12" i="16"/>
  <c r="H12" i="16"/>
  <c r="G13" i="16"/>
  <c r="H13" i="16"/>
  <c r="D20" i="16"/>
  <c r="D21" i="16"/>
  <c r="D22" i="16"/>
  <c r="I10" i="8"/>
  <c r="J10" i="8"/>
  <c r="C50" i="11"/>
  <c r="C21" i="12"/>
  <c r="D19" i="7"/>
  <c r="C48" i="18"/>
  <c r="C20" i="19"/>
  <c r="C49" i="18"/>
  <c r="C21" i="19"/>
  <c r="I14" i="8"/>
  <c r="C29" i="3"/>
  <c r="C49" i="3"/>
  <c r="C46" i="11"/>
  <c r="C45" i="15"/>
  <c r="C50" i="18"/>
  <c r="C22" i="19"/>
  <c r="D45" i="22"/>
  <c r="H7" i="4"/>
  <c r="D7" i="11"/>
  <c r="E13" i="4"/>
  <c r="G13" i="4"/>
  <c r="H13" i="4"/>
  <c r="D15" i="9"/>
  <c r="I11" i="9"/>
  <c r="D15" i="12"/>
  <c r="D45" i="20"/>
  <c r="C26" i="22"/>
  <c r="C50" i="22"/>
  <c r="C22" i="23"/>
  <c r="E10" i="2"/>
  <c r="G10" i="2"/>
  <c r="H10" i="2"/>
  <c r="E9" i="2"/>
  <c r="E11" i="2"/>
  <c r="G11" i="2"/>
  <c r="H11" i="2"/>
  <c r="E7" i="2"/>
  <c r="G7" i="2"/>
  <c r="H7" i="2"/>
  <c r="E13" i="2"/>
  <c r="G13" i="2"/>
  <c r="H13" i="2"/>
  <c r="E6" i="2"/>
  <c r="G6" i="2"/>
  <c r="J6" i="8"/>
  <c r="F13" i="8"/>
  <c r="H13" i="8"/>
  <c r="E15" i="8"/>
  <c r="E12" i="12"/>
  <c r="G12" i="12"/>
  <c r="H12" i="12"/>
  <c r="E7" i="12"/>
  <c r="G7" i="12"/>
  <c r="E13" i="12"/>
  <c r="G13" i="12"/>
  <c r="H13" i="12"/>
  <c r="E10" i="12"/>
  <c r="G10" i="12"/>
  <c r="H10" i="12"/>
  <c r="C49" i="20"/>
  <c r="C48" i="20"/>
  <c r="D5" i="20"/>
  <c r="D7" i="20"/>
  <c r="C50" i="20"/>
  <c r="E50" i="11"/>
  <c r="E8" i="12"/>
  <c r="G8" i="12"/>
  <c r="H8" i="12"/>
  <c r="I13" i="4"/>
  <c r="E8" i="6"/>
  <c r="G8" i="6"/>
  <c r="E13" i="6"/>
  <c r="G13" i="6"/>
  <c r="E7" i="6"/>
  <c r="G7" i="6"/>
  <c r="E6" i="6"/>
  <c r="G6" i="6"/>
  <c r="E12" i="6"/>
  <c r="G12" i="6"/>
  <c r="D48" i="5"/>
  <c r="J9" i="8"/>
  <c r="I9" i="8"/>
  <c r="E6" i="12"/>
  <c r="G6" i="12"/>
  <c r="B52" i="1"/>
  <c r="C17" i="22"/>
  <c r="E8" i="2"/>
  <c r="G8" i="2"/>
  <c r="H8" i="2"/>
  <c r="I6" i="8"/>
  <c r="E12" i="2"/>
  <c r="I11" i="6"/>
  <c r="H11" i="6"/>
  <c r="D47" i="7"/>
  <c r="E19" i="7"/>
  <c r="C48" i="22"/>
  <c r="C20" i="23"/>
  <c r="G20" i="23"/>
  <c r="D5" i="22"/>
  <c r="D7" i="22"/>
  <c r="C49" i="22"/>
  <c r="C21" i="23"/>
  <c r="G21" i="23"/>
  <c r="C21" i="21"/>
  <c r="H6" i="12"/>
  <c r="I13" i="6"/>
  <c r="H13" i="6"/>
  <c r="C20" i="21"/>
  <c r="H6" i="6"/>
  <c r="I6" i="6"/>
  <c r="C22" i="21"/>
  <c r="D22" i="27"/>
  <c r="E22" i="27"/>
  <c r="D23" i="27"/>
  <c r="E23" i="27"/>
  <c r="D21" i="27"/>
  <c r="E21" i="27"/>
  <c r="I12" i="6"/>
  <c r="H12" i="6"/>
  <c r="H7" i="12"/>
  <c r="H15" i="12"/>
  <c r="G15" i="12"/>
  <c r="H10" i="6"/>
  <c r="I10" i="6"/>
  <c r="H8" i="4"/>
  <c r="I8" i="4"/>
  <c r="J8" i="8"/>
  <c r="I8" i="8"/>
  <c r="J12" i="8"/>
  <c r="I12" i="8"/>
  <c r="H6" i="2"/>
  <c r="H15" i="2"/>
  <c r="G15" i="2"/>
  <c r="I6" i="4"/>
  <c r="H6" i="4"/>
  <c r="G15" i="4"/>
  <c r="D52" i="1"/>
  <c r="I10" i="4"/>
  <c r="H10" i="4"/>
  <c r="H14" i="4"/>
  <c r="I14" i="4"/>
  <c r="G15" i="16"/>
  <c r="H7" i="16"/>
  <c r="G15" i="21"/>
  <c r="H6" i="21"/>
  <c r="H15" i="21"/>
  <c r="C43" i="22"/>
  <c r="H6" i="23"/>
  <c r="H15" i="23"/>
  <c r="D43" i="22"/>
  <c r="G15" i="23"/>
  <c r="H8" i="6"/>
  <c r="I8" i="6"/>
  <c r="H13" i="9"/>
  <c r="I13" i="9"/>
  <c r="I12" i="9"/>
  <c r="H12" i="9"/>
  <c r="D51" i="1"/>
  <c r="I7" i="6"/>
  <c r="H7" i="6"/>
  <c r="G15" i="6"/>
  <c r="J13" i="8"/>
  <c r="I13" i="8"/>
  <c r="G22" i="23"/>
  <c r="H10" i="9"/>
  <c r="I10" i="9"/>
  <c r="I6" i="9"/>
  <c r="G15" i="9"/>
  <c r="H6" i="9"/>
  <c r="H15" i="9"/>
  <c r="I11" i="4"/>
  <c r="H11" i="4"/>
  <c r="J7" i="8"/>
  <c r="I7" i="8"/>
  <c r="I15" i="8"/>
  <c r="H15" i="8"/>
  <c r="H8" i="9"/>
  <c r="I8" i="9"/>
  <c r="C49" i="10"/>
  <c r="C51" i="10"/>
  <c r="C50" i="10"/>
  <c r="H15" i="16"/>
  <c r="H6" i="25"/>
  <c r="H15" i="25"/>
  <c r="G15" i="25"/>
  <c r="D9" i="1"/>
  <c r="C49" i="24"/>
  <c r="C21" i="25"/>
  <c r="C50" i="24"/>
  <c r="C22" i="25"/>
  <c r="D20" i="25"/>
  <c r="E20" i="25"/>
  <c r="D22" i="25"/>
  <c r="D21" i="25"/>
  <c r="E21" i="25"/>
  <c r="C22" i="9"/>
  <c r="C32" i="9"/>
  <c r="E51" i="10"/>
  <c r="J15" i="8"/>
  <c r="E21" i="8"/>
  <c r="E22" i="8"/>
  <c r="E20" i="8"/>
  <c r="D20" i="2"/>
  <c r="D22" i="2"/>
  <c r="D21" i="2"/>
  <c r="E22" i="12"/>
  <c r="D45" i="11"/>
  <c r="D44" i="15"/>
  <c r="E20" i="12"/>
  <c r="E21" i="12"/>
  <c r="H17" i="25"/>
  <c r="F21" i="25"/>
  <c r="G21" i="25"/>
  <c r="F22" i="25"/>
  <c r="G22" i="25"/>
  <c r="F20" i="25"/>
  <c r="G20" i="25"/>
  <c r="D22" i="21"/>
  <c r="D20" i="21"/>
  <c r="D21" i="21"/>
  <c r="D20" i="4"/>
  <c r="D22" i="4"/>
  <c r="D21" i="4"/>
  <c r="I15" i="4"/>
  <c r="C20" i="2"/>
  <c r="C22" i="2"/>
  <c r="C21" i="2"/>
  <c r="D20" i="12"/>
  <c r="G20" i="12"/>
  <c r="D22" i="12"/>
  <c r="G22" i="12"/>
  <c r="D21" i="12"/>
  <c r="G21" i="12"/>
  <c r="D43" i="15"/>
  <c r="O26" i="12"/>
  <c r="O27" i="12"/>
  <c r="D44" i="11"/>
  <c r="H19" i="12"/>
  <c r="C20" i="9"/>
  <c r="C30" i="9"/>
  <c r="E49" i="10"/>
  <c r="E52" i="10"/>
  <c r="D5" i="10"/>
  <c r="D7" i="10"/>
  <c r="I15" i="16"/>
  <c r="E15" i="19"/>
  <c r="G21" i="16"/>
  <c r="G22" i="16"/>
  <c r="G20" i="16"/>
  <c r="E22" i="9"/>
  <c r="I17" i="9"/>
  <c r="I18" i="9"/>
  <c r="D20" i="6"/>
  <c r="I15" i="6"/>
  <c r="D22" i="6"/>
  <c r="D21" i="6"/>
  <c r="D22" i="23"/>
  <c r="E22" i="23"/>
  <c r="D44" i="22"/>
  <c r="D21" i="23"/>
  <c r="E21" i="23"/>
  <c r="D20" i="23"/>
  <c r="E20" i="23"/>
  <c r="H15" i="4"/>
  <c r="E22" i="25"/>
  <c r="E50" i="10"/>
  <c r="C21" i="9"/>
  <c r="C31" i="9"/>
  <c r="I15" i="9"/>
  <c r="H15" i="6"/>
  <c r="E20" i="16"/>
  <c r="F20" i="16"/>
  <c r="E22" i="16"/>
  <c r="F22" i="16"/>
  <c r="E21" i="16"/>
  <c r="F21" i="16"/>
  <c r="E7" i="19"/>
  <c r="G7" i="19"/>
  <c r="H7" i="19"/>
  <c r="E8" i="19"/>
  <c r="G8" i="19"/>
  <c r="H8" i="19"/>
  <c r="E10" i="19"/>
  <c r="G10" i="19"/>
  <c r="H10" i="19"/>
  <c r="E6" i="19"/>
  <c r="G6" i="19"/>
  <c r="E12" i="19"/>
  <c r="G12" i="19"/>
  <c r="H12" i="19"/>
  <c r="E13" i="19"/>
  <c r="G13" i="19"/>
  <c r="H13" i="19"/>
  <c r="E11" i="19"/>
  <c r="G11" i="19"/>
  <c r="H11" i="19"/>
  <c r="C20" i="4"/>
  <c r="C22" i="4"/>
  <c r="C21" i="4"/>
  <c r="C33" i="9"/>
  <c r="F21" i="21"/>
  <c r="E21" i="21"/>
  <c r="F20" i="21"/>
  <c r="E20" i="21"/>
  <c r="F22" i="21"/>
  <c r="E22" i="21"/>
  <c r="D21" i="8"/>
  <c r="D20" i="8"/>
  <c r="J18" i="8"/>
  <c r="D22" i="8"/>
  <c r="N26" i="8"/>
  <c r="N27" i="8"/>
  <c r="E20" i="9"/>
  <c r="N26" i="9"/>
  <c r="N27" i="9"/>
  <c r="I19" i="9"/>
  <c r="C21" i="6"/>
  <c r="C20" i="6"/>
  <c r="C22" i="6"/>
  <c r="M26" i="6"/>
  <c r="M27" i="6"/>
  <c r="I21" i="6"/>
  <c r="E21" i="9"/>
  <c r="H6" i="19"/>
  <c r="H15" i="19"/>
  <c r="G15" i="19"/>
  <c r="D21" i="19"/>
  <c r="D22" i="19"/>
  <c r="D44" i="18"/>
  <c r="D20" i="19"/>
  <c r="D44" i="20"/>
  <c r="D43" i="18"/>
  <c r="D43" i="20"/>
  <c r="F20" i="19"/>
  <c r="E20" i="19"/>
  <c r="E22" i="19"/>
  <c r="F22" i="19"/>
  <c r="E21" i="19"/>
  <c r="F21" i="19"/>
  <c r="F21" i="36" l="1"/>
  <c r="G21" i="36" s="1"/>
  <c r="F23" i="36"/>
  <c r="G23" i="36" s="1"/>
  <c r="H18" i="36"/>
  <c r="E23" i="36"/>
  <c r="D22" i="36"/>
  <c r="D21" i="36"/>
  <c r="D51" i="37"/>
  <c r="F28" i="34"/>
  <c r="D23" i="35"/>
  <c r="D22" i="35"/>
  <c r="D21" i="35"/>
  <c r="F23" i="35"/>
  <c r="F22" i="35"/>
  <c r="F21" i="35"/>
  <c r="B45" i="34"/>
  <c r="B8" i="34" s="1"/>
  <c r="C45" i="34"/>
  <c r="D45" i="34"/>
  <c r="G16" i="33"/>
  <c r="F23" i="33"/>
  <c r="G23" i="33" s="1"/>
  <c r="F21" i="33"/>
  <c r="G21" i="33" s="1"/>
  <c r="F22" i="33"/>
  <c r="G22" i="33" s="1"/>
  <c r="I18" i="33"/>
  <c r="C50" i="32"/>
  <c r="D50" i="32" s="1"/>
  <c r="D5" i="32"/>
  <c r="D8" i="32" s="1"/>
  <c r="C49" i="32"/>
  <c r="D49" i="32" s="1"/>
  <c r="C48" i="32"/>
  <c r="D48" i="32" s="1"/>
  <c r="G16" i="30"/>
  <c r="F23" i="30"/>
  <c r="D45" i="29"/>
  <c r="B45" i="29"/>
  <c r="B5" i="29" s="1"/>
  <c r="B8" i="29" s="1"/>
  <c r="C45" i="29"/>
  <c r="E21" i="36" l="1"/>
  <c r="E22" i="36"/>
  <c r="C50" i="34"/>
  <c r="C49" i="34"/>
  <c r="C48" i="34"/>
  <c r="D5" i="34"/>
  <c r="D8" i="34" s="1"/>
  <c r="D22" i="33"/>
  <c r="E22" i="33" s="1"/>
  <c r="D21" i="33"/>
  <c r="E21" i="33" s="1"/>
  <c r="D23" i="33"/>
  <c r="E23" i="33" s="1"/>
  <c r="D51" i="32"/>
  <c r="D21" i="30"/>
  <c r="D22" i="30"/>
  <c r="D23" i="30"/>
  <c r="F22" i="30"/>
  <c r="F21" i="30"/>
  <c r="C50" i="29"/>
  <c r="C49" i="29"/>
  <c r="C48" i="29"/>
  <c r="D5" i="29"/>
  <c r="D8" i="29" s="1"/>
  <c r="D49" i="34" l="1"/>
  <c r="C22" i="35"/>
  <c r="D50" i="34"/>
  <c r="C23" i="35"/>
  <c r="D48" i="34"/>
  <c r="C21" i="35"/>
  <c r="D48" i="29"/>
  <c r="C21" i="30"/>
  <c r="D49" i="29"/>
  <c r="C22" i="30"/>
  <c r="D50" i="29"/>
  <c r="C23" i="30"/>
  <c r="D51" i="34" l="1"/>
  <c r="E21" i="35"/>
  <c r="G21" i="35"/>
  <c r="E23" i="35"/>
  <c r="G23" i="35"/>
  <c r="E22" i="35"/>
  <c r="G22" i="35"/>
  <c r="D51" i="29"/>
  <c r="E22" i="30"/>
  <c r="G22" i="30"/>
  <c r="E23" i="30"/>
  <c r="G23" i="30"/>
  <c r="E21" i="30"/>
  <c r="G21" i="30"/>
</calcChain>
</file>

<file path=xl/sharedStrings.xml><?xml version="1.0" encoding="utf-8"?>
<sst xmlns="http://schemas.openxmlformats.org/spreadsheetml/2006/main" count="1438" uniqueCount="191">
  <si>
    <t>Income</t>
  </si>
  <si>
    <t>Maintenance Fees</t>
  </si>
  <si>
    <t>Late Fee Income</t>
  </si>
  <si>
    <t>Misc Income</t>
  </si>
  <si>
    <t>Expenses</t>
  </si>
  <si>
    <t>Administrative Expenses</t>
  </si>
  <si>
    <t>Bank Fees</t>
  </si>
  <si>
    <t>Licenses and Permits</t>
  </si>
  <si>
    <t>Office Supplies</t>
  </si>
  <si>
    <t>Copies</t>
  </si>
  <si>
    <t>Envelopes</t>
  </si>
  <si>
    <t>Statement Fee</t>
  </si>
  <si>
    <t>Postage</t>
  </si>
  <si>
    <t>Total Administrative Expense</t>
  </si>
  <si>
    <t>Contract Expense</t>
  </si>
  <si>
    <t>Cable</t>
  </si>
  <si>
    <t>Fire Extinguishers</t>
  </si>
  <si>
    <t>Garbage</t>
  </si>
  <si>
    <t>Janitoral Fee</t>
  </si>
  <si>
    <t>Management Fee</t>
  </si>
  <si>
    <t>Pest Control</t>
  </si>
  <si>
    <t>Total Contract Expense</t>
  </si>
  <si>
    <t>Insurance Expense</t>
  </si>
  <si>
    <t>Repairs and Maint Expense</t>
  </si>
  <si>
    <t>Building Supplies</t>
  </si>
  <si>
    <t>Irrigation</t>
  </si>
  <si>
    <t>Landscaping</t>
  </si>
  <si>
    <t>Master Association</t>
  </si>
  <si>
    <t>Tree Trimming</t>
  </si>
  <si>
    <t xml:space="preserve">Repairs and Maint  </t>
  </si>
  <si>
    <t>Total Repairs and Maint Expense</t>
  </si>
  <si>
    <t>Taxes</t>
  </si>
  <si>
    <t>Utility Expense</t>
  </si>
  <si>
    <t xml:space="preserve">Electrical </t>
  </si>
  <si>
    <t>Water</t>
  </si>
  <si>
    <t>Total Utility Expense</t>
  </si>
  <si>
    <t xml:space="preserve">Approve </t>
  </si>
  <si>
    <t xml:space="preserve">Estimated </t>
  </si>
  <si>
    <t>Bad Debt</t>
  </si>
  <si>
    <t>A</t>
  </si>
  <si>
    <t>C</t>
  </si>
  <si>
    <t>CC</t>
  </si>
  <si>
    <t>*The Florida Statues require the Board of Directors to adopt a budget with full reserves.  The unit owners at a duly called meeting, may vote against the funding of full reserves or may opt to vot for reserves "less than adequate". (Partial Reserves)</t>
  </si>
  <si>
    <t>Reserves</t>
  </si>
  <si>
    <t>Item</t>
  </si>
  <si>
    <t>Estimated</t>
  </si>
  <si>
    <t>% Per Each</t>
  </si>
  <si>
    <t xml:space="preserve">Money in </t>
  </si>
  <si>
    <t>Years left</t>
  </si>
  <si>
    <t>Life</t>
  </si>
  <si>
    <t>Cost</t>
  </si>
  <si>
    <t>Reserve</t>
  </si>
  <si>
    <t xml:space="preserve">for </t>
  </si>
  <si>
    <t>Painting</t>
  </si>
  <si>
    <t>Roof</t>
  </si>
  <si>
    <t>Total</t>
  </si>
  <si>
    <t xml:space="preserve">Units: </t>
  </si>
  <si>
    <t>Percentage</t>
  </si>
  <si>
    <t>Maintenance with no reserves per month</t>
  </si>
  <si>
    <t>Landscape Replacement</t>
  </si>
  <si>
    <t>Building Restoration</t>
  </si>
  <si>
    <t>CMA</t>
  </si>
  <si>
    <t xml:space="preserve">Paving Parking </t>
  </si>
  <si>
    <t>Legal</t>
  </si>
  <si>
    <t>Paving Roads</t>
  </si>
  <si>
    <t>Stairs</t>
  </si>
  <si>
    <t>Funded for 2010</t>
  </si>
  <si>
    <t>Lago Del Rey #4 Condominium Association, Inc.
Budget for 2010
Period from January 1, 2010 to December 31, 2010</t>
  </si>
  <si>
    <t xml:space="preserve">Monthly Maintenance with  Full Reserves </t>
  </si>
  <si>
    <t>Reserve Transfer (Partial)</t>
  </si>
  <si>
    <t>Reserve Transfer (Full)</t>
  </si>
  <si>
    <t>Total Income with Full Reserves</t>
  </si>
  <si>
    <t>Proposed Budget</t>
  </si>
  <si>
    <t>Total Expenses with Full Reserves</t>
  </si>
  <si>
    <t>with no increase</t>
  </si>
  <si>
    <t>Monthly  Maintenance Per Unit with 70% Reserves</t>
  </si>
  <si>
    <t>Monthly  Maintenance Per Unit with 70%  Reserves</t>
  </si>
  <si>
    <t>Total Income with 70% Reserves</t>
  </si>
  <si>
    <t>Total Expenses with 70% Reserves</t>
  </si>
  <si>
    <t>Lago Del Rey #4 Condominium Association, Inc.
Budget for 2011
Period from January 1, 2011 to December 31, 2011</t>
  </si>
  <si>
    <t>Funded for 2011</t>
  </si>
  <si>
    <t>Special Assessment CMA Roof</t>
  </si>
  <si>
    <t>Attorney Fees</t>
  </si>
  <si>
    <t>Total Expenses without Reserves</t>
  </si>
  <si>
    <t>with 5% Increase for 2011</t>
  </si>
  <si>
    <r>
      <rPr>
        <b/>
        <sz val="12"/>
        <rFont val="Arial"/>
        <family val="2"/>
      </rPr>
      <t>A</t>
    </r>
    <r>
      <rPr>
        <sz val="12"/>
        <rFont val="Arial"/>
        <family val="2"/>
      </rPr>
      <t xml:space="preserve"> - 104, 110, 204, 210</t>
    </r>
  </si>
  <si>
    <r>
      <rPr>
        <b/>
        <sz val="12"/>
        <rFont val="Arial"/>
        <family val="2"/>
      </rPr>
      <t>C</t>
    </r>
    <r>
      <rPr>
        <sz val="12"/>
        <rFont val="Arial"/>
        <family val="2"/>
      </rPr>
      <t xml:space="preserve"> - 102, 103, 105, 106, 107, 108, 109, 111, 112, 202, 203, 205, 206, 207, 208, 209, 211, 212</t>
    </r>
  </si>
  <si>
    <r>
      <rPr>
        <b/>
        <sz val="12"/>
        <rFont val="Arial"/>
        <family val="2"/>
      </rPr>
      <t>CC</t>
    </r>
    <r>
      <rPr>
        <sz val="12"/>
        <rFont val="Arial"/>
        <family val="2"/>
      </rPr>
      <t xml:space="preserve"> - 101, 114, 201, 214</t>
    </r>
  </si>
  <si>
    <t>Bat Maintenance</t>
  </si>
  <si>
    <t>Reserves 2011</t>
  </si>
  <si>
    <r>
      <rPr>
        <b/>
        <sz val="12"/>
        <rFont val="Arial"/>
        <family val="2"/>
      </rPr>
      <t>A</t>
    </r>
    <r>
      <rPr>
        <sz val="12"/>
        <rFont val="Arial"/>
        <family val="2"/>
      </rPr>
      <t xml:space="preserve"> - 104, 110, 204, 210 - 3.49%</t>
    </r>
  </si>
  <si>
    <r>
      <rPr>
        <b/>
        <sz val="12"/>
        <rFont val="Arial"/>
        <family val="2"/>
      </rPr>
      <t>C</t>
    </r>
    <r>
      <rPr>
        <sz val="12"/>
        <rFont val="Arial"/>
        <family val="2"/>
      </rPr>
      <t xml:space="preserve"> - 102, 103, 105, 106, 107, 108, 109, 111, 112, 202, 203, 205, 206, 207, 208, 209, 211, 212 - 3.86%</t>
    </r>
  </si>
  <si>
    <r>
      <rPr>
        <b/>
        <sz val="12"/>
        <rFont val="Arial"/>
        <family val="2"/>
      </rPr>
      <t>CC</t>
    </r>
    <r>
      <rPr>
        <sz val="12"/>
        <rFont val="Arial"/>
        <family val="2"/>
      </rPr>
      <t xml:space="preserve"> - 101, 114, 201, 214 - 4.14%</t>
    </r>
  </si>
  <si>
    <t>Monthly Maintenance Per Unit with Partial Reserves at 50%</t>
  </si>
  <si>
    <t>Reserves for 2011</t>
  </si>
  <si>
    <t>Reserves 2012</t>
  </si>
  <si>
    <t>Reserves for 2012</t>
  </si>
  <si>
    <t>Funded for 2012</t>
  </si>
  <si>
    <t>Lago Del Rey #4 Condominium Association, Inc.
Budget for 2012
Period from January 1, 2012 to December 31, 2012</t>
  </si>
  <si>
    <t>Approved</t>
  </si>
  <si>
    <t>Painting of the doors $1800.00 towards reserves for 2011 used from the operating acct</t>
  </si>
  <si>
    <t>A - 104, 110, 204, 210</t>
  </si>
  <si>
    <t>C - 102, 103, 105, 106, 107, 108, 109, 111, 112, 202, 203, 205, 206, 207, 208, 209, 211, 212</t>
  </si>
  <si>
    <t>CC - 101, 114, 201, 214</t>
  </si>
  <si>
    <t>Monthly Maintenance Per Unit with Partial Reserves at 37%</t>
  </si>
  <si>
    <t>*** Correction to the % on reserves.  In the previous mailing we had 50% but to keep the fees for 2012 exactly the same, we must have reserves set at 37% for 2012.  The vote is to have full reserves at 100% or partial reserves at 37%</t>
  </si>
  <si>
    <t>Lago Del Rey #4 Condominium Association, Inc.
Budget for 2013
Period from January 1, 2013 to December 31, 2013</t>
  </si>
  <si>
    <t>Approved Budget</t>
  </si>
  <si>
    <t>Total Income</t>
  </si>
  <si>
    <t>Holiday Bonus</t>
  </si>
  <si>
    <t>Reserves for 2013</t>
  </si>
  <si>
    <t>Funded for 2013</t>
  </si>
  <si>
    <t>Maintenance without Reserves</t>
  </si>
  <si>
    <t>Monthly Maintenance Per Unit with Partial Reserves at 40%</t>
  </si>
  <si>
    <t>Reserves 2013</t>
  </si>
  <si>
    <t>Funded for 2014</t>
  </si>
  <si>
    <t>Reserves for 2014</t>
  </si>
  <si>
    <t>Lago Del Rey #4 Condominium Association, Inc.
Budget for 2014
Period from January 1, 2014 to December 31, 2014</t>
  </si>
  <si>
    <t>Reserves 2014</t>
  </si>
  <si>
    <t>Lago Del Rey #4 Condominium Association, Inc.
Budget for 2015
Period from January 1, 2015 to December 31, 2015</t>
  </si>
  <si>
    <t>Funded for 2015</t>
  </si>
  <si>
    <t>up in cost</t>
  </si>
  <si>
    <t>Monthly Maintenance Per Unit with Partial Reserves at 30%</t>
  </si>
  <si>
    <t>Assessment Amount</t>
  </si>
  <si>
    <t>6 Months</t>
  </si>
  <si>
    <t>Total for Entire Community</t>
  </si>
  <si>
    <t>Per Unit</t>
  </si>
  <si>
    <t>Reserve Transfer (Partial) 30</t>
  </si>
  <si>
    <t>LDR CMC MASTER ASSOCIATION CAPITAL IMPROVEMENTS</t>
  </si>
  <si>
    <t>These improvements include the following areas:  tennis courts, bathrooms at the pool area and the entire clubhouse</t>
  </si>
  <si>
    <t>Total Monthly Maintenance for 2015</t>
  </si>
  <si>
    <t>Two Payments</t>
  </si>
  <si>
    <t>Lago Del Rey #4 Condominium Association, Inc.
Budget for 2016
Period from January 1, 2016 to December 31, 2016</t>
  </si>
  <si>
    <t>Reserves 2015</t>
  </si>
  <si>
    <t>Funded for 2016</t>
  </si>
  <si>
    <t>Monthly Maintenance with Partial  Reserves at 25%</t>
  </si>
  <si>
    <t>Montly Maintenance for 2016 to include partial reserves</t>
  </si>
  <si>
    <t>Lago Del Rey #4 Condominium Association, Inc.
Budget for 2017
Period from January 1, 2017 to December 31, 2017</t>
  </si>
  <si>
    <t>Reserves 2016</t>
  </si>
  <si>
    <t>Funded for 2017</t>
  </si>
  <si>
    <t>Reserve Transfer (Partial) 25</t>
  </si>
  <si>
    <t>Lago Del Rey #4 Condominium Association, Inc.
Budget for 2018
Period from January 1, 2018 to December 31, 2018</t>
  </si>
  <si>
    <t>Funded for 2018</t>
  </si>
  <si>
    <t>Reserves 2017</t>
  </si>
  <si>
    <t>Reserves 2018</t>
  </si>
  <si>
    <t>Funded for 2019</t>
  </si>
  <si>
    <t>Lago Del Ray #4 Reserves 2019</t>
  </si>
  <si>
    <t>Lago Del Rey #4 Condominium Association, Inc.
Budget for 2019
Period from January 1, 2019 to December 31, 2019</t>
  </si>
  <si>
    <t>Monthly Maintenance with Partial  Reserves at 20%</t>
  </si>
  <si>
    <t>Reserves Monthly without Maintenance fees</t>
  </si>
  <si>
    <t>Patrial Reserves 20% Monthly without Maintenance fees</t>
  </si>
  <si>
    <t>Reserve Transfer (Partial) 20%</t>
  </si>
  <si>
    <t>Lago Del Ray #4 Reserves 2020</t>
  </si>
  <si>
    <t>Reserves 2019</t>
  </si>
  <si>
    <t>Funded for 2020</t>
  </si>
  <si>
    <t>Lago Del Rey #4 Condominium Association, Inc.
Budget for 2020
Period from January 1, 2020 to December 31, 2020</t>
  </si>
  <si>
    <t>Patrial Reserves 10% Monthly without Maintenance fees</t>
  </si>
  <si>
    <t>Monthly Maintenance with Partial  Reserves at 10%</t>
  </si>
  <si>
    <t>Lago Del Ray #4 Reserves 2021</t>
  </si>
  <si>
    <t>Funded for 2021</t>
  </si>
  <si>
    <t>Reserves 2020</t>
  </si>
  <si>
    <t>9% increase for 2021</t>
  </si>
  <si>
    <t>Electrical Panel</t>
  </si>
  <si>
    <t>Monthly Maintenance with Partial  Reserves at 5%</t>
  </si>
  <si>
    <t>Patrial Reserves 5% Monthly without Maintenance fees</t>
  </si>
  <si>
    <t>Lago Del Rey #4 Condominium Association, Inc.
Proposed Budget for 2022
Period from January 1, 2022 to December 31, 2022</t>
  </si>
  <si>
    <t>Lago Del Ray #4 Reserves 2022</t>
  </si>
  <si>
    <t>Reserves 2021</t>
  </si>
  <si>
    <t>Funded for 2022</t>
  </si>
  <si>
    <t>Roof Expense</t>
  </si>
  <si>
    <t>take from reserves if necessary</t>
  </si>
  <si>
    <t>Units: 26</t>
  </si>
  <si>
    <t>Lago Del Ray #4 Reserves 2023</t>
  </si>
  <si>
    <t>Reserves 2022</t>
  </si>
  <si>
    <t>Funded for 2023</t>
  </si>
  <si>
    <t>Reserve Transfer (Partial) 50%</t>
  </si>
  <si>
    <t>Reserves Income</t>
  </si>
  <si>
    <t>Maintenance without Reserves $70,000.00</t>
  </si>
  <si>
    <t>Maintenance without Reserves $90,000.00</t>
  </si>
  <si>
    <t>Maintenance without Reserves 100,000.00</t>
  </si>
  <si>
    <t>Lago Del Rey #4 Condominium Association, Inc.
Amended Budget for 2023
Period from January 1, 2023 to December 31, 2023</t>
  </si>
  <si>
    <t>Funded for 2024</t>
  </si>
  <si>
    <t>Reserves 2023</t>
  </si>
  <si>
    <t>Lago Del Ray #4 Reserves 2024</t>
  </si>
  <si>
    <t>Reserve Transfer (Partial) 5%</t>
  </si>
  <si>
    <t>Patrial Reserves 15% Monthly without Maintenance fees</t>
  </si>
  <si>
    <t>Monthly Maintenance with Partial  Reserves at 15%</t>
  </si>
  <si>
    <t>Lago Del Rey #4 Condominium Association, Inc.
Amended Budget for 2024
Period from January 1, 2024 to December 31, 2024</t>
  </si>
  <si>
    <t>Funded for 2025</t>
  </si>
  <si>
    <t>Patrial Reserves 30% Monthly without Maintenance fees</t>
  </si>
  <si>
    <t>Reserves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</si>
</sst>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$&quot;#,##0.00"/>
    <numFmt numFmtId="165" formatCode="&quot;$&quot;#,##0"/>
  </numFmts>
  <fonts count="10" x14ac:knownFonts="1">
    <font>
      <sz val="10"/>
      <name val="Arial"/>
    </font>
    <font>
      <sz val="8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sz val="14"/>
      <name val="Arial"/>
      <family val="2"/>
    </font>
    <font>
      <sz val="14"/>
      <name val="Arial"/>
      <family val="2"/>
    </font>
    <font>
      <b/>
      <sz val="11"/>
      <name val="Arial"/>
      <family val="2"/>
    </font>
    <font>
      <b/>
      <sz val="1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43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/>
      <bottom style="double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</borders>
  <cellStyleXfs count="1">
    <xf numFmtId="0" fontId="0" fillId="0" borderId="0"/>
  </cellStyleXfs>
  <cellXfs count="229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1" xfId="0" applyNumberFormat="1" applyBorder="1" applyAlignment="1">
      <alignment horizontal="center"/>
    </xf>
    <xf numFmtId="164" fontId="2" fillId="0" borderId="0" xfId="0" applyNumberFormat="1" applyFont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2" fontId="2" fillId="0" borderId="3" xfId="0" applyNumberFormat="1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164" fontId="4" fillId="0" borderId="5" xfId="0" applyNumberFormat="1" applyFont="1" applyBorder="1" applyAlignment="1">
      <alignment horizontal="center"/>
    </xf>
    <xf numFmtId="164" fontId="4" fillId="0" borderId="6" xfId="0" applyNumberFormat="1" applyFont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164" fontId="2" fillId="2" borderId="8" xfId="0" applyNumberFormat="1" applyFont="1" applyFill="1" applyBorder="1" applyAlignment="1">
      <alignment horizontal="center"/>
    </xf>
    <xf numFmtId="10" fontId="2" fillId="2" borderId="8" xfId="0" applyNumberFormat="1" applyFont="1" applyFill="1" applyBorder="1" applyAlignment="1">
      <alignment horizontal="center"/>
    </xf>
    <xf numFmtId="164" fontId="2" fillId="2" borderId="9" xfId="0" applyNumberFormat="1" applyFont="1" applyFill="1" applyBorder="1" applyAlignment="1">
      <alignment horizontal="center"/>
    </xf>
    <xf numFmtId="0" fontId="3" fillId="0" borderId="10" xfId="0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 applyAlignment="1">
      <alignment horizontal="center" wrapText="1"/>
    </xf>
    <xf numFmtId="164" fontId="3" fillId="0" borderId="12" xfId="0" applyNumberFormat="1" applyFont="1" applyBorder="1" applyAlignment="1">
      <alignment horizontal="center" wrapText="1"/>
    </xf>
    <xf numFmtId="0" fontId="5" fillId="0" borderId="4" xfId="0" applyFont="1" applyBorder="1"/>
    <xf numFmtId="10" fontId="5" fillId="0" borderId="5" xfId="0" applyNumberFormat="1" applyFont="1" applyBorder="1" applyAlignment="1">
      <alignment horizontal="center"/>
    </xf>
    <xf numFmtId="165" fontId="5" fillId="0" borderId="5" xfId="0" applyNumberFormat="1" applyFont="1" applyBorder="1" applyAlignment="1">
      <alignment horizontal="center"/>
    </xf>
    <xf numFmtId="165" fontId="5" fillId="0" borderId="6" xfId="0" applyNumberFormat="1" applyFont="1" applyBorder="1" applyAlignment="1">
      <alignment horizontal="center"/>
    </xf>
    <xf numFmtId="0" fontId="5" fillId="0" borderId="4" xfId="0" applyFont="1" applyBorder="1" applyAlignment="1">
      <alignment wrapText="1"/>
    </xf>
    <xf numFmtId="164" fontId="0" fillId="0" borderId="0" xfId="0" applyNumberFormat="1"/>
    <xf numFmtId="165" fontId="4" fillId="0" borderId="5" xfId="0" applyNumberFormat="1" applyFont="1" applyBorder="1" applyAlignment="1">
      <alignment horizontal="center"/>
    </xf>
    <xf numFmtId="9" fontId="2" fillId="0" borderId="3" xfId="0" applyNumberFormat="1" applyFont="1" applyBorder="1" applyAlignment="1">
      <alignment horizontal="center"/>
    </xf>
    <xf numFmtId="9" fontId="2" fillId="0" borderId="13" xfId="0" applyNumberFormat="1" applyFont="1" applyBorder="1" applyAlignment="1">
      <alignment horizontal="center"/>
    </xf>
    <xf numFmtId="164" fontId="2" fillId="2" borderId="0" xfId="0" applyNumberFormat="1" applyFont="1" applyFill="1" applyAlignment="1">
      <alignment horizontal="center"/>
    </xf>
    <xf numFmtId="164" fontId="2" fillId="0" borderId="1" xfId="0" applyNumberFormat="1" applyFont="1" applyBorder="1" applyAlignment="1">
      <alignment horizontal="center"/>
    </xf>
    <xf numFmtId="0" fontId="2" fillId="2" borderId="0" xfId="0" applyFont="1" applyFill="1"/>
    <xf numFmtId="0" fontId="0" fillId="0" borderId="5" xfId="0" applyBorder="1"/>
    <xf numFmtId="165" fontId="0" fillId="0" borderId="5" xfId="0" applyNumberFormat="1" applyBorder="1"/>
    <xf numFmtId="165" fontId="2" fillId="2" borderId="0" xfId="0" applyNumberFormat="1" applyFont="1" applyFill="1" applyAlignment="1">
      <alignment horizontal="center"/>
    </xf>
    <xf numFmtId="165" fontId="0" fillId="0" borderId="0" xfId="0" applyNumberFormat="1" applyAlignment="1">
      <alignment horizontal="center"/>
    </xf>
    <xf numFmtId="0" fontId="2" fillId="0" borderId="14" xfId="0" applyFont="1" applyBorder="1"/>
    <xf numFmtId="0" fontId="2" fillId="0" borderId="0" xfId="0" applyFont="1" applyAlignment="1">
      <alignment horizontal="center" wrapText="1"/>
    </xf>
    <xf numFmtId="0" fontId="4" fillId="0" borderId="0" xfId="0" applyFont="1"/>
    <xf numFmtId="165" fontId="2" fillId="0" borderId="5" xfId="0" applyNumberFormat="1" applyFont="1" applyBorder="1" applyAlignment="1">
      <alignment horizontal="center"/>
    </xf>
    <xf numFmtId="9" fontId="0" fillId="0" borderId="0" xfId="0" applyNumberFormat="1"/>
    <xf numFmtId="10" fontId="0" fillId="0" borderId="0" xfId="0" applyNumberFormat="1"/>
    <xf numFmtId="2" fontId="0" fillId="0" borderId="0" xfId="0" applyNumberFormat="1"/>
    <xf numFmtId="9" fontId="2" fillId="0" borderId="15" xfId="0" applyNumberFormat="1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164" fontId="4" fillId="0" borderId="14" xfId="0" applyNumberFormat="1" applyFont="1" applyBorder="1" applyAlignment="1">
      <alignment horizontal="center"/>
    </xf>
    <xf numFmtId="164" fontId="2" fillId="2" borderId="16" xfId="0" applyNumberFormat="1" applyFont="1" applyFill="1" applyBorder="1" applyAlignment="1">
      <alignment horizontal="center"/>
    </xf>
    <xf numFmtId="0" fontId="0" fillId="0" borderId="6" xfId="0" applyBorder="1" applyAlignment="1">
      <alignment horizontal="center"/>
    </xf>
    <xf numFmtId="164" fontId="0" fillId="0" borderId="6" xfId="0" applyNumberFormat="1" applyBorder="1" applyAlignment="1">
      <alignment horizontal="center"/>
    </xf>
    <xf numFmtId="164" fontId="2" fillId="3" borderId="9" xfId="0" applyNumberFormat="1" applyFont="1" applyFill="1" applyBorder="1" applyAlignment="1">
      <alignment horizontal="center"/>
    </xf>
    <xf numFmtId="9" fontId="2" fillId="0" borderId="6" xfId="0" applyNumberFormat="1" applyFont="1" applyBorder="1" applyAlignment="1">
      <alignment horizontal="center"/>
    </xf>
    <xf numFmtId="0" fontId="3" fillId="0" borderId="0" xfId="0" applyFont="1"/>
    <xf numFmtId="164" fontId="0" fillId="0" borderId="17" xfId="0" applyNumberFormat="1" applyBorder="1" applyAlignment="1">
      <alignment horizontal="center"/>
    </xf>
    <xf numFmtId="165" fontId="3" fillId="0" borderId="5" xfId="0" applyNumberFormat="1" applyFont="1" applyBorder="1" applyAlignment="1">
      <alignment horizontal="center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  <xf numFmtId="0" fontId="5" fillId="0" borderId="0" xfId="0" applyFont="1"/>
    <xf numFmtId="9" fontId="5" fillId="0" borderId="0" xfId="0" applyNumberFormat="1" applyFont="1"/>
    <xf numFmtId="164" fontId="5" fillId="0" borderId="0" xfId="0" applyNumberFormat="1" applyFont="1" applyAlignment="1">
      <alignment horizontal="center"/>
    </xf>
    <xf numFmtId="2" fontId="5" fillId="0" borderId="0" xfId="0" applyNumberFormat="1" applyFont="1"/>
    <xf numFmtId="164" fontId="5" fillId="0" borderId="17" xfId="0" applyNumberFormat="1" applyFont="1" applyBorder="1" applyAlignment="1">
      <alignment horizontal="center"/>
    </xf>
    <xf numFmtId="0" fontId="3" fillId="2" borderId="0" xfId="0" applyFont="1" applyFill="1"/>
    <xf numFmtId="164" fontId="3" fillId="2" borderId="0" xfId="0" applyNumberFormat="1" applyFont="1" applyFill="1" applyAlignment="1">
      <alignment horizontal="center"/>
    </xf>
    <xf numFmtId="165" fontId="3" fillId="2" borderId="0" xfId="0" applyNumberFormat="1" applyFont="1" applyFill="1" applyAlignment="1">
      <alignment horizontal="center"/>
    </xf>
    <xf numFmtId="164" fontId="5" fillId="0" borderId="1" xfId="0" applyNumberFormat="1" applyFont="1" applyBorder="1" applyAlignment="1">
      <alignment horizontal="center"/>
    </xf>
    <xf numFmtId="164" fontId="3" fillId="0" borderId="0" xfId="0" applyNumberFormat="1" applyFont="1" applyAlignment="1">
      <alignment horizontal="center"/>
    </xf>
    <xf numFmtId="164" fontId="3" fillId="0" borderId="1" xfId="0" applyNumberFormat="1" applyFont="1" applyBorder="1" applyAlignment="1">
      <alignment horizontal="center"/>
    </xf>
    <xf numFmtId="10" fontId="5" fillId="0" borderId="0" xfId="0" applyNumberFormat="1" applyFont="1"/>
    <xf numFmtId="0" fontId="3" fillId="0" borderId="5" xfId="0" applyFont="1" applyBorder="1"/>
    <xf numFmtId="0" fontId="3" fillId="0" borderId="5" xfId="0" applyFont="1" applyBorder="1" applyAlignment="1">
      <alignment horizontal="center"/>
    </xf>
    <xf numFmtId="0" fontId="3" fillId="0" borderId="5" xfId="0" applyFont="1" applyBorder="1" applyAlignment="1">
      <alignment horizontal="center" wrapText="1"/>
    </xf>
    <xf numFmtId="0" fontId="5" fillId="0" borderId="0" xfId="0" applyFont="1" applyAlignment="1">
      <alignment horizontal="center"/>
    </xf>
    <xf numFmtId="0" fontId="5" fillId="0" borderId="5" xfId="0" applyFont="1" applyBorder="1"/>
    <xf numFmtId="0" fontId="5" fillId="0" borderId="5" xfId="0" applyFont="1" applyBorder="1" applyAlignment="1">
      <alignment horizontal="center"/>
    </xf>
    <xf numFmtId="164" fontId="5" fillId="0" borderId="5" xfId="0" applyNumberFormat="1" applyFont="1" applyBorder="1" applyAlignment="1">
      <alignment horizontal="center"/>
    </xf>
    <xf numFmtId="164" fontId="5" fillId="0" borderId="0" xfId="0" applyNumberFormat="1" applyFont="1"/>
    <xf numFmtId="0" fontId="5" fillId="0" borderId="5" xfId="0" applyFont="1" applyBorder="1" applyAlignment="1">
      <alignment wrapText="1"/>
    </xf>
    <xf numFmtId="165" fontId="0" fillId="0" borderId="0" xfId="0" applyNumberFormat="1"/>
    <xf numFmtId="0" fontId="6" fillId="0" borderId="2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164" fontId="7" fillId="0" borderId="6" xfId="0" applyNumberFormat="1" applyFont="1" applyBorder="1" applyAlignment="1">
      <alignment horizontal="center"/>
    </xf>
    <xf numFmtId="0" fontId="7" fillId="0" borderId="4" xfId="0" applyFont="1" applyBorder="1" applyAlignment="1">
      <alignment horizontal="center" wrapText="1"/>
    </xf>
    <xf numFmtId="164" fontId="6" fillId="0" borderId="7" xfId="0" applyNumberFormat="1" applyFont="1" applyBorder="1" applyAlignment="1">
      <alignment horizontal="center"/>
    </xf>
    <xf numFmtId="164" fontId="6" fillId="0" borderId="8" xfId="0" applyNumberFormat="1" applyFont="1" applyBorder="1" applyAlignment="1">
      <alignment horizontal="center"/>
    </xf>
    <xf numFmtId="9" fontId="2" fillId="0" borderId="5" xfId="0" applyNumberFormat="1" applyFont="1" applyBorder="1" applyAlignment="1">
      <alignment horizontal="center"/>
    </xf>
    <xf numFmtId="0" fontId="3" fillId="0" borderId="11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  <xf numFmtId="164" fontId="3" fillId="0" borderId="11" xfId="0" applyNumberFormat="1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10" fontId="5" fillId="0" borderId="5" xfId="0" applyNumberFormat="1" applyFont="1" applyBorder="1" applyAlignment="1">
      <alignment horizontal="center" vertical="center"/>
    </xf>
    <xf numFmtId="164" fontId="3" fillId="0" borderId="5" xfId="0" applyNumberFormat="1" applyFont="1" applyBorder="1" applyAlignment="1">
      <alignment horizontal="center" vertical="center"/>
    </xf>
    <xf numFmtId="165" fontId="5" fillId="0" borderId="5" xfId="0" applyNumberFormat="1" applyFont="1" applyBorder="1" applyAlignment="1">
      <alignment horizontal="center" vertical="center"/>
    </xf>
    <xf numFmtId="0" fontId="6" fillId="0" borderId="10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7" fillId="0" borderId="28" xfId="0" applyFont="1" applyBorder="1" applyAlignment="1">
      <alignment horizontal="center"/>
    </xf>
    <xf numFmtId="0" fontId="7" fillId="0" borderId="29" xfId="0" applyFont="1" applyBorder="1" applyAlignment="1">
      <alignment horizontal="center"/>
    </xf>
    <xf numFmtId="164" fontId="7" fillId="0" borderId="30" xfId="0" applyNumberFormat="1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5" xfId="0" applyFont="1" applyBorder="1" applyAlignment="1">
      <alignment horizontal="center" wrapText="1"/>
    </xf>
    <xf numFmtId="0" fontId="7" fillId="0" borderId="5" xfId="0" applyFont="1" applyBorder="1"/>
    <xf numFmtId="164" fontId="7" fillId="0" borderId="5" xfId="0" applyNumberFormat="1" applyFont="1" applyBorder="1" applyAlignment="1">
      <alignment horizontal="center"/>
    </xf>
    <xf numFmtId="0" fontId="7" fillId="0" borderId="5" xfId="0" applyFont="1" applyBorder="1" applyAlignment="1">
      <alignment wrapText="1"/>
    </xf>
    <xf numFmtId="165" fontId="2" fillId="0" borderId="0" xfId="0" applyNumberFormat="1" applyFont="1" applyAlignment="1">
      <alignment horizontal="center"/>
    </xf>
    <xf numFmtId="0" fontId="0" fillId="0" borderId="5" xfId="0" applyBorder="1" applyAlignment="1">
      <alignment horizontal="center" vertical="center" wrapText="1"/>
    </xf>
    <xf numFmtId="10" fontId="0" fillId="0" borderId="5" xfId="0" applyNumberFormat="1" applyBorder="1" applyAlignment="1">
      <alignment horizontal="center" vertical="center"/>
    </xf>
    <xf numFmtId="164" fontId="0" fillId="0" borderId="5" xfId="0" applyNumberForma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164" fontId="2" fillId="4" borderId="5" xfId="0" applyNumberFormat="1" applyFont="1" applyFill="1" applyBorder="1" applyAlignment="1">
      <alignment horizontal="center" vertical="center"/>
    </xf>
    <xf numFmtId="0" fontId="2" fillId="4" borderId="5" xfId="0" applyFont="1" applyFill="1" applyBorder="1" applyAlignment="1">
      <alignment horizontal="center" vertical="center" wrapText="1"/>
    </xf>
    <xf numFmtId="0" fontId="8" fillId="0" borderId="10" xfId="0" applyFont="1" applyBorder="1" applyAlignment="1">
      <alignment horizontal="center"/>
    </xf>
    <xf numFmtId="0" fontId="8" fillId="0" borderId="11" xfId="0" applyFont="1" applyBorder="1" applyAlignment="1">
      <alignment horizontal="center"/>
    </xf>
    <xf numFmtId="164" fontId="8" fillId="0" borderId="7" xfId="0" applyNumberFormat="1" applyFont="1" applyBorder="1" applyAlignment="1">
      <alignment horizontal="center"/>
    </xf>
    <xf numFmtId="164" fontId="8" fillId="0" borderId="8" xfId="0" applyNumberFormat="1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164" fontId="8" fillId="0" borderId="14" xfId="0" applyNumberFormat="1" applyFont="1" applyBorder="1" applyAlignment="1">
      <alignment horizontal="center"/>
    </xf>
    <xf numFmtId="0" fontId="8" fillId="0" borderId="4" xfId="0" applyFont="1" applyBorder="1" applyAlignment="1">
      <alignment horizontal="center" wrapText="1"/>
    </xf>
    <xf numFmtId="0" fontId="8" fillId="0" borderId="28" xfId="0" applyFont="1" applyBorder="1" applyAlignment="1">
      <alignment horizontal="center"/>
    </xf>
    <xf numFmtId="0" fontId="8" fillId="0" borderId="29" xfId="0" applyFont="1" applyBorder="1" applyAlignment="1">
      <alignment horizontal="center"/>
    </xf>
    <xf numFmtId="164" fontId="8" fillId="0" borderId="31" xfId="0" applyNumberFormat="1" applyFont="1" applyBorder="1" applyAlignment="1">
      <alignment horizontal="center"/>
    </xf>
    <xf numFmtId="0" fontId="3" fillId="0" borderId="5" xfId="0" applyFont="1" applyBorder="1" applyAlignment="1">
      <alignment horizontal="center" vertical="center" wrapText="1"/>
    </xf>
    <xf numFmtId="164" fontId="8" fillId="4" borderId="5" xfId="0" applyNumberFormat="1" applyFont="1" applyFill="1" applyBorder="1" applyAlignment="1">
      <alignment horizontal="center"/>
    </xf>
    <xf numFmtId="164" fontId="8" fillId="4" borderId="29" xfId="0" applyNumberFormat="1" applyFont="1" applyFill="1" applyBorder="1" applyAlignment="1">
      <alignment horizontal="center"/>
    </xf>
    <xf numFmtId="165" fontId="3" fillId="0" borderId="5" xfId="0" applyNumberFormat="1" applyFont="1" applyBorder="1" applyAlignment="1">
      <alignment horizontal="center" vertical="center"/>
    </xf>
    <xf numFmtId="0" fontId="0" fillId="0" borderId="0" xfId="0" applyAlignment="1">
      <alignment vertical="center" wrapText="1"/>
    </xf>
    <xf numFmtId="0" fontId="3" fillId="0" borderId="5" xfId="0" applyFont="1" applyBorder="1" applyAlignment="1">
      <alignment horizontal="center" vertical="center"/>
    </xf>
    <xf numFmtId="164" fontId="3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/>
    </xf>
    <xf numFmtId="0" fontId="0" fillId="0" borderId="5" xfId="0" applyBorder="1" applyAlignment="1">
      <alignment horizontal="center"/>
    </xf>
    <xf numFmtId="164" fontId="2" fillId="3" borderId="5" xfId="0" applyNumberFormat="1" applyFont="1" applyFill="1" applyBorder="1" applyAlignment="1">
      <alignment horizontal="center"/>
    </xf>
    <xf numFmtId="10" fontId="5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wrapText="1"/>
    </xf>
    <xf numFmtId="165" fontId="7" fillId="0" borderId="5" xfId="0" applyNumberFormat="1" applyFont="1" applyBorder="1" applyAlignment="1">
      <alignment horizontal="center"/>
    </xf>
    <xf numFmtId="165" fontId="3" fillId="0" borderId="0" xfId="0" applyNumberFormat="1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164" fontId="3" fillId="0" borderId="3" xfId="0" applyNumberFormat="1" applyFont="1" applyBorder="1" applyAlignment="1">
      <alignment horizontal="center" vertical="center" wrapText="1"/>
    </xf>
    <xf numFmtId="164" fontId="3" fillId="0" borderId="13" xfId="0" applyNumberFormat="1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165" fontId="3" fillId="0" borderId="6" xfId="0" applyNumberFormat="1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 wrapText="1"/>
    </xf>
    <xf numFmtId="10" fontId="5" fillId="0" borderId="8" xfId="0" applyNumberFormat="1" applyFont="1" applyBorder="1" applyAlignment="1">
      <alignment horizontal="center" vertical="center"/>
    </xf>
    <xf numFmtId="165" fontId="3" fillId="0" borderId="8" xfId="0" applyNumberFormat="1" applyFont="1" applyBorder="1" applyAlignment="1">
      <alignment horizontal="center" vertical="center"/>
    </xf>
    <xf numFmtId="165" fontId="5" fillId="0" borderId="8" xfId="0" applyNumberFormat="1" applyFont="1" applyBorder="1" applyAlignment="1">
      <alignment horizontal="center" vertical="center"/>
    </xf>
    <xf numFmtId="165" fontId="3" fillId="0" borderId="9" xfId="0" applyNumberFormat="1" applyFont="1" applyBorder="1" applyAlignment="1">
      <alignment horizontal="center" vertical="center"/>
    </xf>
    <xf numFmtId="164" fontId="2" fillId="0" borderId="6" xfId="0" applyNumberFormat="1" applyFont="1" applyBorder="1" applyAlignment="1">
      <alignment horizontal="center"/>
    </xf>
    <xf numFmtId="164" fontId="3" fillId="3" borderId="0" xfId="0" applyNumberFormat="1" applyFont="1" applyFill="1" applyAlignment="1">
      <alignment horizontal="center"/>
    </xf>
    <xf numFmtId="164" fontId="3" fillId="0" borderId="5" xfId="0" applyNumberFormat="1" applyFont="1" applyBorder="1" applyAlignment="1">
      <alignment horizontal="center"/>
    </xf>
    <xf numFmtId="0" fontId="6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3" fillId="0" borderId="20" xfId="0" applyFont="1" applyBorder="1" applyAlignment="1">
      <alignment horizontal="center"/>
    </xf>
    <xf numFmtId="0" fontId="0" fillId="0" borderId="21" xfId="0" applyBorder="1" applyAlignment="1">
      <alignment horizontal="left" vertical="center" wrapText="1"/>
    </xf>
    <xf numFmtId="0" fontId="0" fillId="0" borderId="22" xfId="0" applyBorder="1" applyAlignment="1">
      <alignment horizontal="left" vertical="center" wrapText="1"/>
    </xf>
    <xf numFmtId="0" fontId="0" fillId="0" borderId="23" xfId="0" applyBorder="1" applyAlignment="1">
      <alignment horizontal="left" vertical="center" wrapText="1"/>
    </xf>
    <xf numFmtId="0" fontId="0" fillId="0" borderId="24" xfId="0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0" borderId="25" xfId="0" applyBorder="1" applyAlignment="1">
      <alignment horizontal="left" vertical="center" wrapText="1"/>
    </xf>
    <xf numFmtId="0" fontId="2" fillId="0" borderId="5" xfId="0" applyFont="1" applyBorder="1" applyAlignment="1">
      <alignment horizontal="center"/>
    </xf>
    <xf numFmtId="0" fontId="3" fillId="0" borderId="21" xfId="0" applyFont="1" applyBorder="1" applyAlignment="1">
      <alignment horizontal="center"/>
    </xf>
    <xf numFmtId="0" fontId="3" fillId="0" borderId="22" xfId="0" applyFont="1" applyBorder="1" applyAlignment="1">
      <alignment horizontal="center"/>
    </xf>
    <xf numFmtId="0" fontId="3" fillId="0" borderId="23" xfId="0" applyFont="1" applyBorder="1" applyAlignment="1">
      <alignment horizontal="center"/>
    </xf>
    <xf numFmtId="0" fontId="2" fillId="0" borderId="21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13" xfId="0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2" fillId="0" borderId="26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0" fillId="0" borderId="5" xfId="0" applyBorder="1" applyAlignment="1">
      <alignment horizontal="left" vertical="center" wrapText="1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  <xf numFmtId="0" fontId="6" fillId="4" borderId="5" xfId="0" applyFont="1" applyFill="1" applyBorder="1" applyAlignment="1">
      <alignment horizontal="center"/>
    </xf>
    <xf numFmtId="0" fontId="3" fillId="4" borderId="31" xfId="0" applyFont="1" applyFill="1" applyBorder="1" applyAlignment="1">
      <alignment horizontal="center" vertical="center" wrapText="1"/>
    </xf>
    <xf numFmtId="0" fontId="3" fillId="4" borderId="32" xfId="0" applyFont="1" applyFill="1" applyBorder="1" applyAlignment="1">
      <alignment horizontal="center" vertical="center" wrapText="1"/>
    </xf>
    <xf numFmtId="0" fontId="3" fillId="4" borderId="33" xfId="0" applyFont="1" applyFill="1" applyBorder="1" applyAlignment="1">
      <alignment horizontal="center" vertical="center" wrapText="1"/>
    </xf>
    <xf numFmtId="0" fontId="3" fillId="4" borderId="34" xfId="0" applyFont="1" applyFill="1" applyBorder="1" applyAlignment="1">
      <alignment horizontal="center" vertical="center" wrapText="1"/>
    </xf>
    <xf numFmtId="0" fontId="3" fillId="4" borderId="0" xfId="0" applyFont="1" applyFill="1" applyAlignment="1">
      <alignment horizontal="center" vertical="center" wrapText="1"/>
    </xf>
    <xf numFmtId="0" fontId="3" fillId="4" borderId="35" xfId="0" applyFont="1" applyFill="1" applyBorder="1" applyAlignment="1">
      <alignment horizontal="center" vertical="center" wrapText="1"/>
    </xf>
    <xf numFmtId="0" fontId="3" fillId="4" borderId="36" xfId="0" applyFont="1" applyFill="1" applyBorder="1" applyAlignment="1">
      <alignment horizontal="center" vertical="center" wrapText="1"/>
    </xf>
    <xf numFmtId="0" fontId="3" fillId="4" borderId="37" xfId="0" applyFont="1" applyFill="1" applyBorder="1" applyAlignment="1">
      <alignment horizontal="center" vertical="center" wrapText="1"/>
    </xf>
    <xf numFmtId="0" fontId="3" fillId="4" borderId="38" xfId="0" applyFont="1" applyFill="1" applyBorder="1" applyAlignment="1">
      <alignment horizontal="center" vertical="center" wrapText="1"/>
    </xf>
    <xf numFmtId="0" fontId="6" fillId="0" borderId="30" xfId="0" applyFont="1" applyBorder="1" applyAlignment="1">
      <alignment horizontal="center" vertical="center" wrapText="1"/>
    </xf>
    <xf numFmtId="0" fontId="6" fillId="0" borderId="39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/>
    </xf>
    <xf numFmtId="0" fontId="3" fillId="0" borderId="5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/>
    </xf>
    <xf numFmtId="0" fontId="8" fillId="4" borderId="5" xfId="0" applyFont="1" applyFill="1" applyBorder="1" applyAlignment="1">
      <alignment horizontal="center" vertical="center" wrapText="1"/>
    </xf>
    <xf numFmtId="0" fontId="8" fillId="0" borderId="14" xfId="0" applyFont="1" applyBorder="1" applyAlignment="1">
      <alignment horizontal="center"/>
    </xf>
    <xf numFmtId="0" fontId="8" fillId="0" borderId="41" xfId="0" applyFont="1" applyBorder="1" applyAlignment="1">
      <alignment horizontal="center"/>
    </xf>
    <xf numFmtId="0" fontId="8" fillId="0" borderId="40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37" xfId="0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13" xfId="0" applyFont="1" applyFill="1" applyBorder="1" applyAlignment="1">
      <alignment horizontal="center"/>
    </xf>
    <xf numFmtId="0" fontId="3" fillId="3" borderId="42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9" fillId="3" borderId="2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13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theme" Target="theme/theme1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calcChain" Target="calcChain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poker\Downloads\lago%204%20budget%20(2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udget 2010"/>
      <sheetName val="reserves 2010"/>
      <sheetName val="budget 2011"/>
      <sheetName val="reserves 2011)"/>
      <sheetName val="budget 2012"/>
      <sheetName val="reserves 2012"/>
      <sheetName val="budget 2013"/>
      <sheetName val="reserves 2013"/>
      <sheetName val="budget 2014"/>
      <sheetName val="reserves 2014"/>
      <sheetName val="budget 2015"/>
      <sheetName val="reserves 2015"/>
      <sheetName val="LDRCMC assessment 2014"/>
      <sheetName val="Sheet1"/>
      <sheetName val="budget 2016"/>
      <sheetName val="reserves 2016"/>
      <sheetName val="Sheet2"/>
      <sheetName val="budget 2017"/>
      <sheetName val="reserves 2017"/>
      <sheetName val="budget 2018"/>
      <sheetName val="reserves 2018"/>
      <sheetName val="budget 2019"/>
      <sheetName val="reserves 2019"/>
      <sheetName val="budget 2020"/>
      <sheetName val="reserves 2020"/>
      <sheetName val="budget 2021"/>
      <sheetName val="reserves 202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>
        <row r="46">
          <cell r="C46">
            <v>345.07375000000002</v>
          </cell>
        </row>
        <row r="47">
          <cell r="C47">
            <v>381.65750000000003</v>
          </cell>
        </row>
        <row r="48">
          <cell r="C48">
            <v>409.34249999999997</v>
          </cell>
        </row>
      </sheetData>
      <sheetData sheetId="26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68"/>
  <sheetViews>
    <sheetView topLeftCell="A41" workbookViewId="0">
      <selection activeCell="A62" sqref="A62"/>
    </sheetView>
  </sheetViews>
  <sheetFormatPr defaultColWidth="8.77734375" defaultRowHeight="13.2" x14ac:dyDescent="0.25"/>
  <cols>
    <col min="1" max="1" width="31.5546875" bestFit="1" customWidth="1"/>
    <col min="2" max="2" width="28.44140625" style="3" bestFit="1" customWidth="1"/>
    <col min="3" max="3" width="28" style="3" bestFit="1" customWidth="1"/>
    <col min="4" max="4" width="22.5546875" style="3" customWidth="1"/>
    <col min="5" max="5" width="11.21875" bestFit="1" customWidth="1"/>
  </cols>
  <sheetData>
    <row r="1" spans="1:4" ht="42.75" customHeight="1" x14ac:dyDescent="0.25">
      <c r="A1" s="161" t="s">
        <v>67</v>
      </c>
      <c r="B1" s="162"/>
      <c r="C1" s="162"/>
      <c r="D1" s="162"/>
    </row>
    <row r="3" spans="1:4" x14ac:dyDescent="0.25">
      <c r="B3" s="2" t="s">
        <v>36</v>
      </c>
      <c r="C3" s="2" t="s">
        <v>37</v>
      </c>
      <c r="D3" s="2" t="s">
        <v>72</v>
      </c>
    </row>
    <row r="4" spans="1:4" x14ac:dyDescent="0.25">
      <c r="A4" s="1" t="s">
        <v>0</v>
      </c>
      <c r="B4" s="2">
        <v>2009</v>
      </c>
      <c r="C4" s="2">
        <v>2009</v>
      </c>
      <c r="D4" s="2">
        <v>2010</v>
      </c>
    </row>
    <row r="5" spans="1:4" x14ac:dyDescent="0.25">
      <c r="A5" t="s">
        <v>1</v>
      </c>
      <c r="B5" s="4">
        <v>84355</v>
      </c>
      <c r="C5" s="4">
        <v>84355</v>
      </c>
      <c r="D5" s="4">
        <v>88627</v>
      </c>
    </row>
    <row r="6" spans="1:4" x14ac:dyDescent="0.25">
      <c r="A6" t="s">
        <v>2</v>
      </c>
      <c r="B6" s="4">
        <v>0</v>
      </c>
      <c r="C6" s="4">
        <v>200</v>
      </c>
      <c r="D6" s="4">
        <v>200</v>
      </c>
    </row>
    <row r="7" spans="1:4" ht="13.8" thickBot="1" x14ac:dyDescent="0.3">
      <c r="A7" t="s">
        <v>3</v>
      </c>
      <c r="B7" s="5">
        <v>0</v>
      </c>
      <c r="C7" s="5">
        <v>0</v>
      </c>
      <c r="D7" s="5">
        <v>0</v>
      </c>
    </row>
    <row r="8" spans="1:4" x14ac:dyDescent="0.25">
      <c r="A8" s="37"/>
      <c r="B8" s="35">
        <f>SUM(B4:B7)</f>
        <v>86364</v>
      </c>
      <c r="C8" s="35">
        <f>SUM(C4:C7)</f>
        <v>86564</v>
      </c>
      <c r="D8" s="40">
        <f>SUM(D5+D6)</f>
        <v>88827</v>
      </c>
    </row>
    <row r="9" spans="1:4" s="1" customFormat="1" x14ac:dyDescent="0.25">
      <c r="A9" s="37" t="s">
        <v>77</v>
      </c>
      <c r="B9" s="35">
        <f>1481*12+B8</f>
        <v>104136</v>
      </c>
      <c r="C9" s="35">
        <f>1481*12+C8</f>
        <v>104336</v>
      </c>
      <c r="D9" s="40">
        <f>D8+16107.27</f>
        <v>104934.27</v>
      </c>
    </row>
    <row r="10" spans="1:4" s="1" customFormat="1" x14ac:dyDescent="0.25">
      <c r="A10" s="37" t="s">
        <v>71</v>
      </c>
      <c r="B10" s="35"/>
      <c r="C10" s="35"/>
      <c r="D10" s="40">
        <f>D8+23088</f>
        <v>111915</v>
      </c>
    </row>
    <row r="11" spans="1:4" x14ac:dyDescent="0.25">
      <c r="A11" s="1" t="s">
        <v>4</v>
      </c>
      <c r="B11" s="4"/>
      <c r="C11" s="4"/>
      <c r="D11" s="4"/>
    </row>
    <row r="12" spans="1:4" x14ac:dyDescent="0.25">
      <c r="A12" s="1" t="s">
        <v>5</v>
      </c>
      <c r="B12" s="4"/>
      <c r="C12" s="4"/>
      <c r="D12" s="4"/>
    </row>
    <row r="13" spans="1:4" x14ac:dyDescent="0.25">
      <c r="A13" t="s">
        <v>38</v>
      </c>
      <c r="B13" s="4">
        <v>3000</v>
      </c>
      <c r="C13" s="4">
        <v>0</v>
      </c>
      <c r="D13" s="4">
        <v>3000</v>
      </c>
    </row>
    <row r="14" spans="1:4" x14ac:dyDescent="0.25">
      <c r="A14" t="s">
        <v>6</v>
      </c>
      <c r="B14" s="4">
        <v>0</v>
      </c>
      <c r="C14" s="4">
        <v>150</v>
      </c>
      <c r="D14" s="4">
        <v>150</v>
      </c>
    </row>
    <row r="15" spans="1:4" x14ac:dyDescent="0.25">
      <c r="A15" t="s">
        <v>7</v>
      </c>
      <c r="B15" s="4">
        <v>204</v>
      </c>
      <c r="C15" s="4">
        <v>62</v>
      </c>
      <c r="D15" s="4">
        <v>190</v>
      </c>
    </row>
    <row r="16" spans="1:4" x14ac:dyDescent="0.25">
      <c r="A16" t="s">
        <v>8</v>
      </c>
      <c r="B16" s="4">
        <v>800</v>
      </c>
      <c r="C16" s="4">
        <v>500</v>
      </c>
      <c r="D16" s="4">
        <v>550</v>
      </c>
    </row>
    <row r="17" spans="1:4" x14ac:dyDescent="0.25">
      <c r="A17" t="s">
        <v>9</v>
      </c>
      <c r="B17" s="4">
        <v>0</v>
      </c>
      <c r="C17" s="4">
        <v>30</v>
      </c>
      <c r="D17" s="4">
        <v>50</v>
      </c>
    </row>
    <row r="18" spans="1:4" x14ac:dyDescent="0.25">
      <c r="A18" t="s">
        <v>10</v>
      </c>
      <c r="B18" s="4">
        <v>0</v>
      </c>
      <c r="C18" s="4">
        <v>50</v>
      </c>
      <c r="D18" s="4">
        <v>70</v>
      </c>
    </row>
    <row r="19" spans="1:4" x14ac:dyDescent="0.25">
      <c r="A19" t="s">
        <v>11</v>
      </c>
      <c r="B19" s="4">
        <v>0</v>
      </c>
      <c r="C19" s="4">
        <v>50</v>
      </c>
      <c r="D19" s="4">
        <v>70</v>
      </c>
    </row>
    <row r="20" spans="1:4" x14ac:dyDescent="0.25">
      <c r="A20" t="s">
        <v>31</v>
      </c>
      <c r="B20" s="4">
        <v>300</v>
      </c>
      <c r="C20" s="4">
        <v>300</v>
      </c>
      <c r="D20" s="4">
        <v>350</v>
      </c>
    </row>
    <row r="21" spans="1:4" ht="13.8" thickBot="1" x14ac:dyDescent="0.3">
      <c r="A21" t="s">
        <v>12</v>
      </c>
      <c r="B21" s="5">
        <v>0</v>
      </c>
      <c r="C21" s="5">
        <v>160</v>
      </c>
      <c r="D21" s="5">
        <v>200</v>
      </c>
    </row>
    <row r="22" spans="1:4" x14ac:dyDescent="0.25">
      <c r="A22" s="1" t="s">
        <v>13</v>
      </c>
      <c r="B22" s="6">
        <f>SUM(B13:B21)</f>
        <v>4304</v>
      </c>
      <c r="C22" s="6">
        <f>SUM(C13:C21)</f>
        <v>1302</v>
      </c>
      <c r="D22" s="6">
        <f>SUM(D13:D21)</f>
        <v>4630</v>
      </c>
    </row>
    <row r="23" spans="1:4" x14ac:dyDescent="0.25">
      <c r="B23" s="4"/>
      <c r="C23" s="4"/>
      <c r="D23" s="4"/>
    </row>
    <row r="24" spans="1:4" x14ac:dyDescent="0.25">
      <c r="A24" s="1" t="s">
        <v>14</v>
      </c>
      <c r="B24" s="4"/>
      <c r="C24" s="4"/>
      <c r="D24" s="4"/>
    </row>
    <row r="25" spans="1:4" x14ac:dyDescent="0.25">
      <c r="A25" t="s">
        <v>15</v>
      </c>
      <c r="B25" s="4">
        <v>10392</v>
      </c>
      <c r="C25" s="4">
        <v>10400</v>
      </c>
      <c r="D25" s="4">
        <v>11000</v>
      </c>
    </row>
    <row r="26" spans="1:4" x14ac:dyDescent="0.25">
      <c r="A26" t="s">
        <v>16</v>
      </c>
      <c r="B26" s="4">
        <v>500</v>
      </c>
      <c r="C26" s="4">
        <v>800</v>
      </c>
      <c r="D26" s="4">
        <v>800</v>
      </c>
    </row>
    <row r="27" spans="1:4" x14ac:dyDescent="0.25">
      <c r="A27" t="s">
        <v>17</v>
      </c>
      <c r="B27" s="4">
        <v>1793</v>
      </c>
      <c r="C27" s="4">
        <v>2040</v>
      </c>
      <c r="D27" s="4">
        <f>170*12</f>
        <v>2040</v>
      </c>
    </row>
    <row r="28" spans="1:4" x14ac:dyDescent="0.25">
      <c r="A28" t="s">
        <v>18</v>
      </c>
      <c r="B28" s="4">
        <v>4725</v>
      </c>
      <c r="C28" s="4">
        <v>1500</v>
      </c>
      <c r="D28" s="4">
        <f>300*12</f>
        <v>3600</v>
      </c>
    </row>
    <row r="29" spans="1:4" x14ac:dyDescent="0.25">
      <c r="A29" t="s">
        <v>19</v>
      </c>
      <c r="B29" s="4">
        <v>4725</v>
      </c>
      <c r="C29" s="4">
        <v>4200</v>
      </c>
      <c r="D29" s="4">
        <f>375*12</f>
        <v>4500</v>
      </c>
    </row>
    <row r="30" spans="1:4" ht="13.8" thickBot="1" x14ac:dyDescent="0.3">
      <c r="A30" t="s">
        <v>20</v>
      </c>
      <c r="B30" s="5">
        <v>2000</v>
      </c>
      <c r="C30" s="5">
        <v>600</v>
      </c>
      <c r="D30" s="5">
        <f>125*12</f>
        <v>1500</v>
      </c>
    </row>
    <row r="31" spans="1:4" x14ac:dyDescent="0.25">
      <c r="A31" s="1" t="s">
        <v>21</v>
      </c>
      <c r="B31" s="6">
        <f>SUM(B25:B30)</f>
        <v>24135</v>
      </c>
      <c r="C31" s="6">
        <f>SUM(C25:C30)</f>
        <v>19540</v>
      </c>
      <c r="D31" s="6">
        <f>SUM(D25:D30)</f>
        <v>23440</v>
      </c>
    </row>
    <row r="32" spans="1:4" x14ac:dyDescent="0.25">
      <c r="B32" s="4"/>
      <c r="C32" s="4"/>
      <c r="D32" s="4"/>
    </row>
    <row r="33" spans="1:4" x14ac:dyDescent="0.25">
      <c r="A33" s="1" t="s">
        <v>22</v>
      </c>
      <c r="B33" s="6">
        <v>20995</v>
      </c>
      <c r="C33" s="6">
        <v>20995</v>
      </c>
      <c r="D33" s="6">
        <v>25097</v>
      </c>
    </row>
    <row r="34" spans="1:4" x14ac:dyDescent="0.25">
      <c r="B34" s="4"/>
      <c r="C34" s="4"/>
      <c r="D34" s="4"/>
    </row>
    <row r="35" spans="1:4" x14ac:dyDescent="0.25">
      <c r="A35" s="1" t="s">
        <v>23</v>
      </c>
      <c r="B35" s="4"/>
      <c r="C35" s="4"/>
      <c r="D35" s="4"/>
    </row>
    <row r="36" spans="1:4" x14ac:dyDescent="0.25">
      <c r="A36" t="s">
        <v>24</v>
      </c>
      <c r="B36" s="4">
        <v>500</v>
      </c>
      <c r="C36" s="4">
        <v>100</v>
      </c>
      <c r="D36" s="4">
        <v>500</v>
      </c>
    </row>
    <row r="37" spans="1:4" x14ac:dyDescent="0.25">
      <c r="A37" t="s">
        <v>25</v>
      </c>
      <c r="B37" s="4">
        <v>700</v>
      </c>
      <c r="C37" s="4">
        <v>500</v>
      </c>
      <c r="D37" s="4">
        <v>0</v>
      </c>
    </row>
    <row r="38" spans="1:4" x14ac:dyDescent="0.25">
      <c r="A38" t="s">
        <v>26</v>
      </c>
      <c r="B38" s="4">
        <v>8976</v>
      </c>
      <c r="C38" s="4">
        <f>2430+1620</f>
        <v>4050</v>
      </c>
      <c r="D38" s="4">
        <f>405*12</f>
        <v>4860</v>
      </c>
    </row>
    <row r="39" spans="1:4" x14ac:dyDescent="0.25">
      <c r="A39" t="s">
        <v>27</v>
      </c>
      <c r="B39" s="4">
        <v>6000</v>
      </c>
      <c r="C39" s="4">
        <v>11000</v>
      </c>
      <c r="D39" s="4">
        <v>11000</v>
      </c>
    </row>
    <row r="40" spans="1:4" x14ac:dyDescent="0.25">
      <c r="A40" t="s">
        <v>28</v>
      </c>
      <c r="B40" s="4">
        <v>0</v>
      </c>
      <c r="C40" s="4">
        <v>800</v>
      </c>
      <c r="D40" s="4">
        <v>800</v>
      </c>
    </row>
    <row r="41" spans="1:4" ht="13.8" thickBot="1" x14ac:dyDescent="0.3">
      <c r="A41" t="s">
        <v>29</v>
      </c>
      <c r="B41" s="5">
        <v>2000</v>
      </c>
      <c r="C41" s="5">
        <v>100</v>
      </c>
      <c r="D41" s="5">
        <v>100</v>
      </c>
    </row>
    <row r="42" spans="1:4" x14ac:dyDescent="0.25">
      <c r="A42" s="1" t="s">
        <v>30</v>
      </c>
      <c r="B42" s="6">
        <f>SUM(B36:B41)</f>
        <v>18176</v>
      </c>
      <c r="C42" s="6">
        <f>SUM(C36:C41)</f>
        <v>16550</v>
      </c>
      <c r="D42" s="6">
        <f>SUM(D36:D41)</f>
        <v>17260</v>
      </c>
    </row>
    <row r="43" spans="1:4" x14ac:dyDescent="0.25">
      <c r="B43" s="4"/>
      <c r="C43" s="4"/>
      <c r="D43" s="4"/>
    </row>
    <row r="44" spans="1:4" x14ac:dyDescent="0.25">
      <c r="A44" s="1" t="s">
        <v>32</v>
      </c>
      <c r="B44" s="4"/>
      <c r="C44" s="4"/>
      <c r="D44" s="4"/>
    </row>
    <row r="45" spans="1:4" x14ac:dyDescent="0.25">
      <c r="A45" t="s">
        <v>33</v>
      </c>
      <c r="B45" s="4">
        <v>2500</v>
      </c>
      <c r="C45" s="4">
        <v>2600</v>
      </c>
      <c r="D45" s="4">
        <v>2800</v>
      </c>
    </row>
    <row r="46" spans="1:4" ht="13.8" thickBot="1" x14ac:dyDescent="0.3">
      <c r="A46" t="s">
        <v>34</v>
      </c>
      <c r="B46" s="5">
        <v>14245</v>
      </c>
      <c r="C46" s="5">
        <v>15500</v>
      </c>
      <c r="D46" s="5">
        <f>1300*12</f>
        <v>15600</v>
      </c>
    </row>
    <row r="47" spans="1:4" x14ac:dyDescent="0.25">
      <c r="A47" s="1" t="s">
        <v>35</v>
      </c>
      <c r="B47" s="6">
        <f>SUM(B45:B46)</f>
        <v>16745</v>
      </c>
      <c r="C47" s="6">
        <f>SUM(C45:C46)</f>
        <v>18100</v>
      </c>
      <c r="D47" s="6">
        <f>SUM(D45:D46)</f>
        <v>18400</v>
      </c>
    </row>
    <row r="48" spans="1:4" x14ac:dyDescent="0.25">
      <c r="B48" s="4"/>
      <c r="C48" s="4"/>
      <c r="D48" s="4"/>
    </row>
    <row r="49" spans="1:5" x14ac:dyDescent="0.25">
      <c r="A49" s="1" t="s">
        <v>69</v>
      </c>
      <c r="B49" s="6">
        <v>17767</v>
      </c>
      <c r="C49" s="6">
        <v>17767</v>
      </c>
      <c r="D49" s="6">
        <v>16107</v>
      </c>
    </row>
    <row r="50" spans="1:5" ht="13.8" thickBot="1" x14ac:dyDescent="0.3">
      <c r="A50" s="1" t="s">
        <v>70</v>
      </c>
      <c r="B50" s="5"/>
      <c r="C50" s="5"/>
      <c r="D50" s="36">
        <v>23088</v>
      </c>
    </row>
    <row r="51" spans="1:5" x14ac:dyDescent="0.25">
      <c r="A51" s="37" t="s">
        <v>78</v>
      </c>
      <c r="B51" s="35"/>
      <c r="C51" s="35"/>
      <c r="D51" s="35">
        <f>D22+D31+D33+D42+D47+D49</f>
        <v>104934</v>
      </c>
    </row>
    <row r="52" spans="1:5" x14ac:dyDescent="0.25">
      <c r="A52" s="37" t="s">
        <v>73</v>
      </c>
      <c r="B52" s="35">
        <f>SUM(B47+B42+B33+B31+B22+B49)</f>
        <v>102122</v>
      </c>
      <c r="C52" s="35">
        <f>SUM(C47+C42+C33+C31+C22+C49)</f>
        <v>94254</v>
      </c>
      <c r="D52" s="35">
        <f>SUM(D47+D42+D33+D31+D22+D50)</f>
        <v>111915</v>
      </c>
    </row>
    <row r="53" spans="1:5" ht="13.8" thickBot="1" x14ac:dyDescent="0.3"/>
    <row r="54" spans="1:5" ht="16.2" thickBot="1" x14ac:dyDescent="0.35">
      <c r="A54" s="163" t="s">
        <v>1</v>
      </c>
      <c r="B54" s="164"/>
      <c r="C54" s="164"/>
      <c r="D54" s="165"/>
    </row>
    <row r="55" spans="1:5" ht="64.5" customHeight="1" x14ac:dyDescent="0.3">
      <c r="A55" s="22" t="s">
        <v>56</v>
      </c>
      <c r="B55" s="23" t="s">
        <v>57</v>
      </c>
      <c r="C55" s="24" t="s">
        <v>76</v>
      </c>
      <c r="D55" s="25" t="s">
        <v>68</v>
      </c>
      <c r="E55" s="31"/>
    </row>
    <row r="56" spans="1:5" ht="15" x14ac:dyDescent="0.25">
      <c r="A56" s="26" t="s">
        <v>39</v>
      </c>
      <c r="B56" s="27">
        <v>3.49E-2</v>
      </c>
      <c r="C56" s="28">
        <v>309</v>
      </c>
      <c r="D56" s="29">
        <v>331.75686562740879</v>
      </c>
    </row>
    <row r="57" spans="1:5" ht="15" x14ac:dyDescent="0.25">
      <c r="A57" s="30" t="s">
        <v>40</v>
      </c>
      <c r="B57" s="27">
        <v>3.8600000000000002E-2</v>
      </c>
      <c r="C57" s="28">
        <v>337</v>
      </c>
      <c r="D57" s="29">
        <v>359.08352396074213</v>
      </c>
    </row>
    <row r="58" spans="1:5" ht="15" x14ac:dyDescent="0.25">
      <c r="A58" s="26" t="s">
        <v>41</v>
      </c>
      <c r="B58" s="27">
        <v>4.1399999999999999E-2</v>
      </c>
      <c r="C58" s="28">
        <v>357</v>
      </c>
      <c r="D58" s="29">
        <v>379.76315729407543</v>
      </c>
    </row>
    <row r="60" spans="1:5" x14ac:dyDescent="0.25">
      <c r="A60" s="42" t="s">
        <v>74</v>
      </c>
      <c r="B60" s="2"/>
      <c r="C60" s="2"/>
      <c r="D60" s="2"/>
    </row>
    <row r="61" spans="1:5" x14ac:dyDescent="0.25">
      <c r="A61" s="38" t="s">
        <v>58</v>
      </c>
    </row>
    <row r="62" spans="1:5" x14ac:dyDescent="0.25">
      <c r="A62" s="39">
        <v>257.75685833333335</v>
      </c>
      <c r="B62" s="41"/>
      <c r="C62" s="41"/>
      <c r="D62" s="41"/>
    </row>
    <row r="63" spans="1:5" x14ac:dyDescent="0.25">
      <c r="A63" s="39">
        <v>285.0835166666667</v>
      </c>
      <c r="B63" s="41"/>
      <c r="C63" s="41"/>
      <c r="D63" s="41"/>
    </row>
    <row r="64" spans="1:5" x14ac:dyDescent="0.25">
      <c r="A64" s="39">
        <v>305.76315</v>
      </c>
      <c r="B64" s="41"/>
      <c r="C64" s="41"/>
      <c r="D64" s="41"/>
    </row>
    <row r="67" spans="3:4" x14ac:dyDescent="0.25">
      <c r="D67" s="41"/>
    </row>
    <row r="68" spans="3:4" x14ac:dyDescent="0.25">
      <c r="C68" s="41"/>
    </row>
  </sheetData>
  <mergeCells count="2">
    <mergeCell ref="A1:D1"/>
    <mergeCell ref="A54:D54"/>
  </mergeCells>
  <phoneticPr fontId="1" type="noConversion"/>
  <pageMargins left="0.25" right="0.28999999999999998" top="1" bottom="1" header="0.5" footer="0.5"/>
  <pageSetup scale="72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N38"/>
  <sheetViews>
    <sheetView view="pageBreakPreview" zoomScale="60" workbookViewId="0">
      <selection activeCell="I19" sqref="I19"/>
    </sheetView>
  </sheetViews>
  <sheetFormatPr defaultColWidth="8.77734375" defaultRowHeight="13.2" x14ac:dyDescent="0.25"/>
  <cols>
    <col min="1" max="1" width="24.44140625" customWidth="1"/>
    <col min="2" max="3" width="20.77734375" customWidth="1"/>
    <col min="4" max="4" width="19.21875" customWidth="1"/>
    <col min="5" max="5" width="23.44140625" customWidth="1"/>
    <col min="6" max="6" width="18.77734375" customWidth="1"/>
    <col min="7" max="7" width="15.44140625" bestFit="1" customWidth="1"/>
    <col min="8" max="9" width="20.21875" bestFit="1" customWidth="1"/>
    <col min="10" max="10" width="20.21875" style="3" bestFit="1" customWidth="1"/>
    <col min="14" max="14" width="10.44140625" bestFit="1" customWidth="1"/>
  </cols>
  <sheetData>
    <row r="1" spans="1:10" ht="13.8" thickBot="1" x14ac:dyDescent="0.3"/>
    <row r="2" spans="1:10" ht="16.2" thickBot="1" x14ac:dyDescent="0.35">
      <c r="A2" s="173" t="s">
        <v>116</v>
      </c>
      <c r="B2" s="174"/>
      <c r="C2" s="174"/>
      <c r="D2" s="174"/>
      <c r="E2" s="174"/>
      <c r="F2" s="174"/>
      <c r="G2" s="174"/>
      <c r="H2" s="174"/>
      <c r="I2" s="174"/>
      <c r="J2" s="175"/>
    </row>
    <row r="3" spans="1:10" x14ac:dyDescent="0.25">
      <c r="A3" s="7" t="s">
        <v>44</v>
      </c>
      <c r="B3" s="8" t="s">
        <v>45</v>
      </c>
      <c r="C3" s="8" t="s">
        <v>45</v>
      </c>
      <c r="D3" s="9" t="s">
        <v>46</v>
      </c>
      <c r="E3" s="8" t="s">
        <v>47</v>
      </c>
      <c r="F3" s="8" t="s">
        <v>48</v>
      </c>
      <c r="G3" s="33">
        <v>1</v>
      </c>
      <c r="H3" s="49">
        <v>0.7</v>
      </c>
      <c r="I3" s="56">
        <v>0.4</v>
      </c>
      <c r="J3"/>
    </row>
    <row r="4" spans="1:10" x14ac:dyDescent="0.25">
      <c r="A4" s="10"/>
      <c r="B4" s="11" t="s">
        <v>49</v>
      </c>
      <c r="C4" s="11" t="s">
        <v>50</v>
      </c>
      <c r="D4" s="12" t="s">
        <v>51</v>
      </c>
      <c r="E4" s="11" t="s">
        <v>114</v>
      </c>
      <c r="F4" s="11" t="s">
        <v>52</v>
      </c>
      <c r="G4" s="11" t="s">
        <v>115</v>
      </c>
      <c r="H4" s="50" t="s">
        <v>115</v>
      </c>
      <c r="I4" s="13" t="s">
        <v>115</v>
      </c>
      <c r="J4"/>
    </row>
    <row r="5" spans="1:10" x14ac:dyDescent="0.25">
      <c r="A5" s="10"/>
      <c r="B5" s="11"/>
      <c r="C5" s="11"/>
      <c r="D5" s="12"/>
      <c r="E5" s="11"/>
      <c r="F5" s="11"/>
      <c r="G5" s="11"/>
      <c r="H5" s="50"/>
      <c r="I5" s="53"/>
      <c r="J5"/>
    </row>
    <row r="6" spans="1:10" x14ac:dyDescent="0.25">
      <c r="A6" s="10" t="s">
        <v>59</v>
      </c>
      <c r="B6" s="11">
        <v>9</v>
      </c>
      <c r="C6" s="15">
        <v>27069</v>
      </c>
      <c r="D6" s="12">
        <v>0.22</v>
      </c>
      <c r="E6" s="32">
        <f>(E15*0.22)+828.38</f>
        <v>23755.455600000001</v>
      </c>
      <c r="F6" s="14">
        <v>2</v>
      </c>
      <c r="G6" s="15">
        <f>(C6-E6)/F6</f>
        <v>1656.7721999999994</v>
      </c>
      <c r="H6" s="51">
        <f t="shared" ref="H6:H11" si="0">G6*0.7</f>
        <v>1159.7405399999996</v>
      </c>
      <c r="I6" s="54">
        <f t="shared" ref="I6:I14" si="1">SUM(G6*0.4)</f>
        <v>662.70887999999979</v>
      </c>
      <c r="J6"/>
    </row>
    <row r="7" spans="1:10" x14ac:dyDescent="0.25">
      <c r="A7" s="10" t="s">
        <v>60</v>
      </c>
      <c r="B7" s="11">
        <v>12</v>
      </c>
      <c r="C7" s="15">
        <v>10000</v>
      </c>
      <c r="D7" s="12">
        <v>0.03</v>
      </c>
      <c r="E7" s="32">
        <f>(E15*D7)+1374.72</f>
        <v>4501.1394</v>
      </c>
      <c r="F7" s="14">
        <v>2</v>
      </c>
      <c r="G7" s="15">
        <f t="shared" ref="G7:G13" si="2">(C7-E7)/F7</f>
        <v>2749.4303</v>
      </c>
      <c r="H7" s="51">
        <f t="shared" si="0"/>
        <v>1924.6012099999998</v>
      </c>
      <c r="I7" s="54">
        <f t="shared" si="1"/>
        <v>1099.7721200000001</v>
      </c>
      <c r="J7"/>
    </row>
    <row r="8" spans="1:10" x14ac:dyDescent="0.25">
      <c r="A8" s="10" t="s">
        <v>53</v>
      </c>
      <c r="B8" s="11">
        <v>8</v>
      </c>
      <c r="C8" s="15">
        <v>21156</v>
      </c>
      <c r="D8" s="12">
        <v>0.17</v>
      </c>
      <c r="E8" s="32">
        <f>(E15*D8)-1800+698.62-16485</f>
        <v>129.99659999999858</v>
      </c>
      <c r="F8" s="14">
        <v>7</v>
      </c>
      <c r="G8" s="15">
        <f t="shared" si="2"/>
        <v>3003.7147714285716</v>
      </c>
      <c r="H8" s="51">
        <f t="shared" si="0"/>
        <v>2102.60034</v>
      </c>
      <c r="I8" s="54">
        <f t="shared" si="1"/>
        <v>1201.4859085714286</v>
      </c>
      <c r="J8"/>
    </row>
    <row r="9" spans="1:10" x14ac:dyDescent="0.25">
      <c r="A9" s="10" t="s">
        <v>61</v>
      </c>
      <c r="B9" s="11">
        <v>1</v>
      </c>
      <c r="C9" s="15">
        <v>1855</v>
      </c>
      <c r="D9" s="12">
        <v>0</v>
      </c>
      <c r="E9" s="32">
        <f>1855</f>
        <v>1855</v>
      </c>
      <c r="F9" s="14">
        <v>1</v>
      </c>
      <c r="G9" s="15">
        <f t="shared" si="2"/>
        <v>0</v>
      </c>
      <c r="H9" s="51">
        <f t="shared" si="0"/>
        <v>0</v>
      </c>
      <c r="I9" s="54">
        <f t="shared" si="1"/>
        <v>0</v>
      </c>
      <c r="J9"/>
    </row>
    <row r="10" spans="1:10" x14ac:dyDescent="0.25">
      <c r="A10" s="10" t="s">
        <v>62</v>
      </c>
      <c r="B10" s="11">
        <v>20</v>
      </c>
      <c r="C10" s="15">
        <v>14000</v>
      </c>
      <c r="D10" s="12">
        <f>7431/97701</f>
        <v>7.6058586913132928E-2</v>
      </c>
      <c r="E10" s="32">
        <f>(E15*D10)+303.68</f>
        <v>8230.0480553934958</v>
      </c>
      <c r="F10" s="14">
        <v>7</v>
      </c>
      <c r="G10" s="15">
        <f t="shared" si="2"/>
        <v>824.27884922950057</v>
      </c>
      <c r="H10" s="51">
        <f t="shared" si="0"/>
        <v>576.9951944606504</v>
      </c>
      <c r="I10" s="54">
        <f t="shared" si="1"/>
        <v>329.71153969180023</v>
      </c>
      <c r="J10"/>
    </row>
    <row r="11" spans="1:10" x14ac:dyDescent="0.25">
      <c r="A11" s="10" t="s">
        <v>63</v>
      </c>
      <c r="B11" s="11">
        <v>1</v>
      </c>
      <c r="C11" s="15">
        <v>3060</v>
      </c>
      <c r="D11" s="12">
        <v>0</v>
      </c>
      <c r="E11" s="32">
        <v>3060</v>
      </c>
      <c r="F11" s="14">
        <v>1</v>
      </c>
      <c r="G11" s="15">
        <f t="shared" si="2"/>
        <v>0</v>
      </c>
      <c r="H11" s="51">
        <f t="shared" si="0"/>
        <v>0</v>
      </c>
      <c r="I11" s="54">
        <f t="shared" si="1"/>
        <v>0</v>
      </c>
      <c r="J11"/>
    </row>
    <row r="12" spans="1:10" x14ac:dyDescent="0.25">
      <c r="A12" s="10" t="s">
        <v>64</v>
      </c>
      <c r="B12" s="11">
        <v>5</v>
      </c>
      <c r="C12" s="15">
        <v>20000</v>
      </c>
      <c r="D12" s="12">
        <v>0.13</v>
      </c>
      <c r="E12" s="32">
        <f>(E15*D12)+516.17</f>
        <v>14063.9874</v>
      </c>
      <c r="F12" s="14">
        <v>4</v>
      </c>
      <c r="G12" s="15">
        <f t="shared" si="2"/>
        <v>1484.00315</v>
      </c>
      <c r="H12" s="51">
        <f>G12*0.8</f>
        <v>1187.20252</v>
      </c>
      <c r="I12" s="54">
        <f t="shared" si="1"/>
        <v>593.60126000000002</v>
      </c>
      <c r="J12"/>
    </row>
    <row r="13" spans="1:10" x14ac:dyDescent="0.25">
      <c r="A13" s="10" t="s">
        <v>54</v>
      </c>
      <c r="B13" s="11">
        <v>20</v>
      </c>
      <c r="C13" s="15">
        <v>300000</v>
      </c>
      <c r="D13" s="12">
        <f>36655/97701</f>
        <v>0.37517527967983949</v>
      </c>
      <c r="E13" s="32">
        <f>(E15*D13)+7454.33</f>
        <v>46552.839093049202</v>
      </c>
      <c r="F13" s="14">
        <v>13</v>
      </c>
      <c r="G13" s="15">
        <f t="shared" si="2"/>
        <v>19495.935454380829</v>
      </c>
      <c r="H13" s="51">
        <f>G13*0.7</f>
        <v>13647.15481806658</v>
      </c>
      <c r="I13" s="54">
        <f t="shared" si="1"/>
        <v>7798.3741817523323</v>
      </c>
      <c r="J13"/>
    </row>
    <row r="14" spans="1:10" x14ac:dyDescent="0.25">
      <c r="A14" s="10" t="s">
        <v>65</v>
      </c>
      <c r="B14" s="11">
        <v>5</v>
      </c>
      <c r="C14" s="15">
        <v>1411</v>
      </c>
      <c r="D14" s="12">
        <v>0</v>
      </c>
      <c r="E14" s="32">
        <v>1411</v>
      </c>
      <c r="F14" s="14">
        <v>4</v>
      </c>
      <c r="G14" s="15">
        <f>(C14-E14)/F14</f>
        <v>0</v>
      </c>
      <c r="H14" s="51">
        <f>G14*0.7</f>
        <v>0</v>
      </c>
      <c r="I14" s="54">
        <f t="shared" si="1"/>
        <v>0</v>
      </c>
      <c r="J14"/>
    </row>
    <row r="15" spans="1:10" ht="13.8" thickBot="1" x14ac:dyDescent="0.3">
      <c r="A15" s="17" t="s">
        <v>55</v>
      </c>
      <c r="B15" s="18"/>
      <c r="C15" s="19">
        <f>SUM(C6:C14)</f>
        <v>398551</v>
      </c>
      <c r="D15" s="20">
        <f>SUM(D6:D14)</f>
        <v>1.0012338665929725</v>
      </c>
      <c r="E15" s="19">
        <f>99625.37+4588.61</f>
        <v>104213.98</v>
      </c>
      <c r="F15" s="19"/>
      <c r="G15" s="19">
        <f>SUM(G6:G14)</f>
        <v>29214.134725038901</v>
      </c>
      <c r="H15" s="52">
        <f>SUM(H6:H14)</f>
        <v>20598.294622527228</v>
      </c>
      <c r="I15" s="55">
        <f>SUM(I6:I14)</f>
        <v>11685.653890015561</v>
      </c>
      <c r="J15"/>
    </row>
    <row r="17" spans="1:14" ht="13.8" thickBot="1" x14ac:dyDescent="0.3">
      <c r="I17" s="31">
        <f>G15*0.37</f>
        <v>10809.229848264393</v>
      </c>
    </row>
    <row r="18" spans="1:14" ht="16.2" thickBot="1" x14ac:dyDescent="0.35">
      <c r="A18" s="163" t="s">
        <v>1</v>
      </c>
      <c r="B18" s="164"/>
      <c r="C18" s="164"/>
      <c r="D18" s="164"/>
      <c r="E18" s="165"/>
      <c r="F18" s="57"/>
      <c r="H18" s="31"/>
      <c r="I18" s="31">
        <f>SUM(I17/12)</f>
        <v>900.76915402203269</v>
      </c>
      <c r="J18" s="4"/>
    </row>
    <row r="19" spans="1:14" ht="62.4" x14ac:dyDescent="0.3">
      <c r="A19" s="22" t="s">
        <v>56</v>
      </c>
      <c r="B19" s="23" t="s">
        <v>57</v>
      </c>
      <c r="C19" s="24" t="s">
        <v>112</v>
      </c>
      <c r="D19" s="24" t="s">
        <v>113</v>
      </c>
      <c r="E19" s="25" t="s">
        <v>68</v>
      </c>
      <c r="G19" s="31"/>
      <c r="I19" s="4">
        <f>SUM(I15/12)</f>
        <v>973.80449083463009</v>
      </c>
      <c r="J19"/>
    </row>
    <row r="20" spans="1:14" ht="18.75" customHeight="1" x14ac:dyDescent="0.3">
      <c r="A20" s="30" t="s">
        <v>101</v>
      </c>
      <c r="B20" s="27">
        <v>3.49E-2</v>
      </c>
      <c r="C20" s="59">
        <f>'budget 2014'!C49</f>
        <v>276.38764166666664</v>
      </c>
      <c r="D20" s="28">
        <v>308</v>
      </c>
      <c r="E20" s="29">
        <f>SUM(G15*B20)/12+C20</f>
        <v>361.35208349198808</v>
      </c>
      <c r="F20" s="83"/>
      <c r="G20" s="31"/>
      <c r="I20" s="3"/>
      <c r="J20"/>
    </row>
    <row r="21" spans="1:14" ht="75.599999999999994" x14ac:dyDescent="0.3">
      <c r="A21" s="30" t="s">
        <v>102</v>
      </c>
      <c r="B21" s="27">
        <v>3.8600000000000002E-2</v>
      </c>
      <c r="C21" s="59">
        <f>'budget 2014'!C50</f>
        <v>305.68948333333338</v>
      </c>
      <c r="D21" s="28">
        <v>340</v>
      </c>
      <c r="E21" s="29">
        <f>SUM(G15*B21)/12+C21</f>
        <v>399.66161669887521</v>
      </c>
      <c r="F21" s="83"/>
      <c r="G21" s="31"/>
      <c r="I21" s="3"/>
      <c r="J21"/>
    </row>
    <row r="22" spans="1:14" ht="28.5" customHeight="1" x14ac:dyDescent="0.3">
      <c r="A22" s="30" t="s">
        <v>103</v>
      </c>
      <c r="B22" s="27">
        <v>4.1399999999999999E-2</v>
      </c>
      <c r="C22" s="59">
        <f>'budget 2014'!C51</f>
        <v>327.86385000000001</v>
      </c>
      <c r="D22" s="28">
        <v>365</v>
      </c>
      <c r="E22" s="29">
        <f>SUM(G15*B22)/12+C22</f>
        <v>428.65261480138423</v>
      </c>
      <c r="F22" s="83"/>
      <c r="G22" s="31"/>
      <c r="I22" s="3"/>
      <c r="J22"/>
    </row>
    <row r="23" spans="1:14" x14ac:dyDescent="0.25">
      <c r="G23" s="31"/>
    </row>
    <row r="25" spans="1:14" x14ac:dyDescent="0.25">
      <c r="A25" s="191" t="s">
        <v>42</v>
      </c>
      <c r="B25" s="191"/>
      <c r="C25" s="191"/>
      <c r="D25" s="191"/>
      <c r="E25" s="191"/>
      <c r="F25" s="191"/>
      <c r="G25" s="191"/>
      <c r="H25" s="191"/>
      <c r="I25" s="191"/>
    </row>
    <row r="26" spans="1:14" x14ac:dyDescent="0.25">
      <c r="A26" s="191"/>
      <c r="B26" s="191"/>
      <c r="C26" s="191"/>
      <c r="D26" s="191"/>
      <c r="E26" s="191"/>
      <c r="F26" s="191"/>
      <c r="G26" s="191"/>
      <c r="H26" s="191"/>
      <c r="I26" s="191"/>
      <c r="N26" s="31">
        <f>SUM(I15/12)</f>
        <v>973.80449083463009</v>
      </c>
    </row>
    <row r="27" spans="1:14" x14ac:dyDescent="0.25">
      <c r="N27" s="31">
        <f>N26*7</f>
        <v>6816.6314358424106</v>
      </c>
    </row>
    <row r="28" spans="1:14" x14ac:dyDescent="0.25">
      <c r="A28" s="4"/>
      <c r="B28" s="44"/>
      <c r="C28" s="44"/>
      <c r="E28" s="31"/>
    </row>
    <row r="29" spans="1:14" x14ac:dyDescent="0.25">
      <c r="A29" s="4"/>
      <c r="B29" s="44"/>
      <c r="C29" s="44"/>
    </row>
    <row r="30" spans="1:14" x14ac:dyDescent="0.25">
      <c r="A30" s="4"/>
      <c r="B30" s="44"/>
      <c r="C30" s="44">
        <f>C20*4*12</f>
        <v>13266.606799999998</v>
      </c>
    </row>
    <row r="31" spans="1:14" x14ac:dyDescent="0.25">
      <c r="C31">
        <f>C21*12*18</f>
        <v>66028.928400000019</v>
      </c>
    </row>
    <row r="32" spans="1:14" x14ac:dyDescent="0.25">
      <c r="C32">
        <f>C22*12*4</f>
        <v>15737.464800000002</v>
      </c>
    </row>
    <row r="33" spans="3:5" x14ac:dyDescent="0.25">
      <c r="C33">
        <f>SUM(C30:C32)</f>
        <v>95033.000000000015</v>
      </c>
    </row>
    <row r="35" spans="3:5" ht="31.2" x14ac:dyDescent="0.3">
      <c r="E35" s="24" t="s">
        <v>58</v>
      </c>
    </row>
    <row r="36" spans="3:5" x14ac:dyDescent="0.25">
      <c r="E36" s="45">
        <v>276.38764166666664</v>
      </c>
    </row>
    <row r="37" spans="3:5" x14ac:dyDescent="0.25">
      <c r="E37" s="45">
        <v>305.68948333333338</v>
      </c>
    </row>
    <row r="38" spans="3:5" x14ac:dyDescent="0.25">
      <c r="E38" s="45">
        <v>327.86385000000001</v>
      </c>
    </row>
  </sheetData>
  <mergeCells count="3">
    <mergeCell ref="A2:J2"/>
    <mergeCell ref="A18:E18"/>
    <mergeCell ref="A25:I26"/>
  </mergeCells>
  <phoneticPr fontId="1" type="noConversion"/>
  <pageMargins left="0.75" right="0.2" top="1" bottom="1" header="0.5" footer="0.5"/>
  <pageSetup scale="70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H52"/>
  <sheetViews>
    <sheetView view="pageBreakPreview" topLeftCell="A22" zoomScale="60" workbookViewId="0">
      <selection activeCell="E51" sqref="E51"/>
    </sheetView>
  </sheetViews>
  <sheetFormatPr defaultColWidth="8.77734375" defaultRowHeight="15" x14ac:dyDescent="0.25"/>
  <cols>
    <col min="1" max="1" width="56.21875" style="62" bestFit="1" customWidth="1"/>
    <col min="2" max="2" width="25.44140625" style="77" bestFit="1" customWidth="1"/>
    <col min="3" max="3" width="43.5546875" style="77" bestFit="1" customWidth="1"/>
    <col min="4" max="4" width="25.44140625" style="77" bestFit="1" customWidth="1"/>
    <col min="5" max="5" width="15.44140625" style="62" bestFit="1" customWidth="1"/>
    <col min="6" max="6" width="8.77734375" style="62"/>
    <col min="7" max="7" width="9.44140625" style="62" bestFit="1" customWidth="1"/>
    <col min="8" max="16384" width="8.77734375" style="62"/>
  </cols>
  <sheetData>
    <row r="1" spans="1:5" ht="42.75" customHeight="1" x14ac:dyDescent="0.3">
      <c r="A1" s="192" t="s">
        <v>119</v>
      </c>
      <c r="B1" s="193"/>
      <c r="C1" s="193"/>
      <c r="D1" s="193"/>
    </row>
    <row r="3" spans="1:5" ht="15.6" x14ac:dyDescent="0.3">
      <c r="B3" s="61" t="s">
        <v>107</v>
      </c>
      <c r="C3" s="61" t="s">
        <v>37</v>
      </c>
      <c r="D3" s="61" t="s">
        <v>72</v>
      </c>
      <c r="E3" s="60"/>
    </row>
    <row r="4" spans="1:5" ht="15.6" x14ac:dyDescent="0.3">
      <c r="A4" s="57" t="s">
        <v>0</v>
      </c>
      <c r="B4" s="61">
        <v>2014</v>
      </c>
      <c r="C4" s="61">
        <v>2014</v>
      </c>
      <c r="D4" s="61">
        <v>2015</v>
      </c>
      <c r="E4" s="63"/>
    </row>
    <row r="5" spans="1:5" x14ac:dyDescent="0.25">
      <c r="A5" s="62" t="s">
        <v>1</v>
      </c>
      <c r="B5" s="64">
        <v>95033.000000000015</v>
      </c>
      <c r="C5" s="64">
        <v>110000</v>
      </c>
      <c r="D5" s="64">
        <f>95033*1.05</f>
        <v>99784.650000000009</v>
      </c>
      <c r="E5" s="65"/>
    </row>
    <row r="6" spans="1:5" ht="15.6" thickBot="1" x14ac:dyDescent="0.3">
      <c r="A6" s="62" t="s">
        <v>2</v>
      </c>
      <c r="B6" s="66">
        <v>300</v>
      </c>
      <c r="C6" s="66">
        <v>400</v>
      </c>
      <c r="D6" s="66">
        <v>300</v>
      </c>
      <c r="E6" s="65"/>
    </row>
    <row r="7" spans="1:5" ht="16.2" thickTop="1" x14ac:dyDescent="0.3">
      <c r="A7" s="67" t="s">
        <v>108</v>
      </c>
      <c r="B7" s="68">
        <v>95333.000000000015</v>
      </c>
      <c r="C7" s="68">
        <f>SUM(C5:C6)</f>
        <v>110400</v>
      </c>
      <c r="D7" s="69">
        <f>SUM(D5:D6)</f>
        <v>100084.65000000001</v>
      </c>
      <c r="E7" s="65"/>
    </row>
    <row r="8" spans="1:5" ht="15.6" x14ac:dyDescent="0.3">
      <c r="A8" s="57" t="s">
        <v>4</v>
      </c>
      <c r="B8" s="64"/>
      <c r="C8" s="64"/>
      <c r="D8" s="64"/>
      <c r="E8" s="65"/>
    </row>
    <row r="9" spans="1:5" ht="15.6" x14ac:dyDescent="0.3">
      <c r="A9" s="57" t="s">
        <v>5</v>
      </c>
      <c r="B9" s="64"/>
      <c r="C9" s="64"/>
      <c r="D9" s="64"/>
      <c r="E9" s="65"/>
    </row>
    <row r="10" spans="1:5" x14ac:dyDescent="0.25">
      <c r="A10" s="62" t="s">
        <v>38</v>
      </c>
      <c r="B10" s="64">
        <v>3000</v>
      </c>
      <c r="C10" s="64">
        <v>1000</v>
      </c>
      <c r="D10" s="64">
        <v>1000</v>
      </c>
      <c r="E10" s="65"/>
    </row>
    <row r="11" spans="1:5" x14ac:dyDescent="0.25">
      <c r="A11" s="62" t="s">
        <v>7</v>
      </c>
      <c r="B11" s="64">
        <v>260</v>
      </c>
      <c r="C11" s="64">
        <v>200</v>
      </c>
      <c r="D11" s="64">
        <v>260</v>
      </c>
      <c r="E11" s="65"/>
    </row>
    <row r="12" spans="1:5" x14ac:dyDescent="0.25">
      <c r="A12" s="62" t="s">
        <v>82</v>
      </c>
      <c r="B12" s="64">
        <v>2000</v>
      </c>
      <c r="C12" s="64">
        <v>600</v>
      </c>
      <c r="D12" s="64">
        <v>1000</v>
      </c>
      <c r="E12" s="65"/>
    </row>
    <row r="13" spans="1:5" x14ac:dyDescent="0.25">
      <c r="A13" s="62" t="s">
        <v>109</v>
      </c>
      <c r="B13" s="64">
        <v>0</v>
      </c>
      <c r="C13" s="64">
        <v>0</v>
      </c>
      <c r="D13" s="64">
        <v>0</v>
      </c>
      <c r="E13" s="65"/>
    </row>
    <row r="14" spans="1:5" x14ac:dyDescent="0.25">
      <c r="A14" s="62" t="s">
        <v>8</v>
      </c>
      <c r="B14" s="64">
        <v>250</v>
      </c>
      <c r="C14" s="64">
        <v>500</v>
      </c>
      <c r="D14" s="64">
        <v>250</v>
      </c>
      <c r="E14" s="65"/>
    </row>
    <row r="15" spans="1:5" x14ac:dyDescent="0.25">
      <c r="A15" s="62" t="s">
        <v>11</v>
      </c>
      <c r="B15" s="64">
        <v>180</v>
      </c>
      <c r="C15" s="64">
        <v>140</v>
      </c>
      <c r="D15" s="64">
        <v>180</v>
      </c>
      <c r="E15" s="65"/>
    </row>
    <row r="16" spans="1:5" x14ac:dyDescent="0.25">
      <c r="A16" s="62" t="s">
        <v>31</v>
      </c>
      <c r="B16" s="64">
        <v>280</v>
      </c>
      <c r="C16" s="64">
        <v>270</v>
      </c>
      <c r="D16" s="64">
        <v>280</v>
      </c>
      <c r="E16" s="65"/>
    </row>
    <row r="17" spans="1:7" ht="15.6" thickBot="1" x14ac:dyDescent="0.3">
      <c r="A17" s="62" t="s">
        <v>12</v>
      </c>
      <c r="B17" s="70">
        <v>190</v>
      </c>
      <c r="C17" s="70">
        <v>120</v>
      </c>
      <c r="D17" s="70">
        <v>150</v>
      </c>
      <c r="E17" s="65"/>
    </row>
    <row r="18" spans="1:7" ht="15.6" x14ac:dyDescent="0.3">
      <c r="A18" s="57" t="s">
        <v>13</v>
      </c>
      <c r="B18" s="71">
        <v>6160</v>
      </c>
      <c r="C18" s="71">
        <f>SUM(C10:C17)</f>
        <v>2830</v>
      </c>
      <c r="D18" s="71">
        <f>SUM(D10:D17)</f>
        <v>3120</v>
      </c>
      <c r="E18" s="65"/>
    </row>
    <row r="19" spans="1:7" x14ac:dyDescent="0.25">
      <c r="B19" s="64"/>
      <c r="C19" s="64"/>
      <c r="D19" s="64"/>
      <c r="E19" s="65"/>
    </row>
    <row r="20" spans="1:7" ht="15.6" x14ac:dyDescent="0.3">
      <c r="A20" s="57" t="s">
        <v>14</v>
      </c>
      <c r="B20" s="64"/>
      <c r="C20" s="64"/>
      <c r="D20" s="64"/>
      <c r="E20" s="65"/>
    </row>
    <row r="21" spans="1:7" x14ac:dyDescent="0.25">
      <c r="A21" s="62" t="s">
        <v>15</v>
      </c>
      <c r="B21" s="64">
        <v>14000</v>
      </c>
      <c r="C21" s="64">
        <f>1250*12</f>
        <v>15000</v>
      </c>
      <c r="D21" s="64">
        <v>15500</v>
      </c>
      <c r="E21" s="65" t="s">
        <v>121</v>
      </c>
    </row>
    <row r="22" spans="1:7" x14ac:dyDescent="0.25">
      <c r="A22" s="62" t="s">
        <v>16</v>
      </c>
      <c r="B22" s="64">
        <v>300</v>
      </c>
      <c r="C22" s="64">
        <v>300</v>
      </c>
      <c r="D22" s="64">
        <v>300</v>
      </c>
      <c r="E22" s="65"/>
    </row>
    <row r="23" spans="1:7" x14ac:dyDescent="0.25">
      <c r="A23" s="62" t="s">
        <v>17</v>
      </c>
      <c r="B23" s="64">
        <v>2500</v>
      </c>
      <c r="C23" s="64">
        <v>2400</v>
      </c>
      <c r="D23" s="64">
        <v>2500</v>
      </c>
      <c r="E23" s="65"/>
    </row>
    <row r="24" spans="1:7" x14ac:dyDescent="0.25">
      <c r="A24" s="62" t="s">
        <v>18</v>
      </c>
      <c r="B24" s="64">
        <v>3600</v>
      </c>
      <c r="C24" s="64">
        <v>3600</v>
      </c>
      <c r="D24" s="64">
        <f>300*12</f>
        <v>3600</v>
      </c>
      <c r="E24" s="65"/>
    </row>
    <row r="25" spans="1:7" x14ac:dyDescent="0.25">
      <c r="A25" s="62" t="s">
        <v>19</v>
      </c>
      <c r="B25" s="64">
        <v>4800</v>
      </c>
      <c r="C25" s="64">
        <v>4800</v>
      </c>
      <c r="D25" s="64">
        <v>4800</v>
      </c>
      <c r="E25" s="65"/>
    </row>
    <row r="26" spans="1:7" ht="15.6" thickBot="1" x14ac:dyDescent="0.3">
      <c r="A26" s="62" t="s">
        <v>20</v>
      </c>
      <c r="B26" s="70">
        <v>2000</v>
      </c>
      <c r="C26" s="70">
        <v>2000</v>
      </c>
      <c r="D26" s="70">
        <v>2000</v>
      </c>
      <c r="E26" s="65"/>
    </row>
    <row r="27" spans="1:7" ht="15.6" x14ac:dyDescent="0.3">
      <c r="A27" s="57" t="s">
        <v>21</v>
      </c>
      <c r="B27" s="71">
        <v>27200</v>
      </c>
      <c r="C27" s="71">
        <f>SUM(C21:C26)</f>
        <v>28100</v>
      </c>
      <c r="D27" s="71">
        <f>SUM(D21:D26)</f>
        <v>28700</v>
      </c>
      <c r="E27" s="65"/>
    </row>
    <row r="28" spans="1:7" x14ac:dyDescent="0.25">
      <c r="B28" s="64"/>
      <c r="C28" s="64"/>
      <c r="D28" s="64"/>
      <c r="E28" s="65"/>
    </row>
    <row r="29" spans="1:7" ht="15.6" x14ac:dyDescent="0.3">
      <c r="A29" s="57" t="s">
        <v>22</v>
      </c>
      <c r="B29" s="71">
        <v>24973</v>
      </c>
      <c r="C29" s="71">
        <v>28000</v>
      </c>
      <c r="D29" s="71">
        <v>28000</v>
      </c>
      <c r="E29" s="65" t="s">
        <v>121</v>
      </c>
      <c r="G29" s="62">
        <f>SUM(B29/C29)</f>
        <v>0.89189285714285715</v>
      </c>
    </row>
    <row r="30" spans="1:7" x14ac:dyDescent="0.25">
      <c r="B30" s="64"/>
      <c r="C30" s="64"/>
      <c r="D30" s="64"/>
      <c r="E30" s="65"/>
    </row>
    <row r="31" spans="1:7" ht="15.6" x14ac:dyDescent="0.3">
      <c r="A31" s="57" t="s">
        <v>23</v>
      </c>
      <c r="B31" s="64"/>
      <c r="C31" s="64"/>
      <c r="D31" s="64"/>
      <c r="E31" s="65"/>
    </row>
    <row r="32" spans="1:7" x14ac:dyDescent="0.25">
      <c r="A32" s="62" t="s">
        <v>26</v>
      </c>
      <c r="B32" s="64">
        <v>5000</v>
      </c>
      <c r="C32" s="64">
        <f>455*12</f>
        <v>5460</v>
      </c>
      <c r="D32" s="64">
        <v>5500</v>
      </c>
      <c r="E32" s="65"/>
    </row>
    <row r="33" spans="1:7" x14ac:dyDescent="0.25">
      <c r="A33" s="62" t="s">
        <v>27</v>
      </c>
      <c r="B33" s="64">
        <v>6600</v>
      </c>
      <c r="C33" s="64">
        <v>6600</v>
      </c>
      <c r="D33" s="64">
        <f>550*12</f>
        <v>6600</v>
      </c>
      <c r="E33" s="65"/>
    </row>
    <row r="34" spans="1:7" x14ac:dyDescent="0.25">
      <c r="A34" s="62" t="s">
        <v>28</v>
      </c>
      <c r="B34" s="64">
        <v>2300</v>
      </c>
      <c r="C34" s="64">
        <v>1000</v>
      </c>
      <c r="D34" s="64">
        <v>1000</v>
      </c>
      <c r="E34" s="65"/>
    </row>
    <row r="35" spans="1:7" x14ac:dyDescent="0.25">
      <c r="A35" s="62" t="s">
        <v>88</v>
      </c>
      <c r="B35" s="64">
        <v>300</v>
      </c>
      <c r="C35" s="64">
        <v>300</v>
      </c>
      <c r="D35" s="64">
        <v>300</v>
      </c>
      <c r="E35" s="65"/>
    </row>
    <row r="36" spans="1:7" ht="15.6" thickBot="1" x14ac:dyDescent="0.3">
      <c r="A36" s="62" t="s">
        <v>29</v>
      </c>
      <c r="B36" s="70">
        <v>3500</v>
      </c>
      <c r="C36" s="70">
        <v>6000</v>
      </c>
      <c r="D36" s="70">
        <v>4000</v>
      </c>
      <c r="E36" s="65" t="s">
        <v>121</v>
      </c>
    </row>
    <row r="37" spans="1:7" ht="15.6" x14ac:dyDescent="0.3">
      <c r="A37" s="57" t="s">
        <v>30</v>
      </c>
      <c r="B37" s="71">
        <v>17700</v>
      </c>
      <c r="C37" s="71">
        <f>SUM(C32:C36)</f>
        <v>19360</v>
      </c>
      <c r="D37" s="71">
        <f>SUM(D32:D36)</f>
        <v>17400</v>
      </c>
      <c r="E37" s="65"/>
    </row>
    <row r="38" spans="1:7" x14ac:dyDescent="0.25">
      <c r="B38" s="64"/>
      <c r="C38" s="64"/>
      <c r="D38" s="64"/>
      <c r="E38" s="65"/>
    </row>
    <row r="39" spans="1:7" ht="15.6" x14ac:dyDescent="0.3">
      <c r="A39" s="57" t="s">
        <v>32</v>
      </c>
      <c r="B39" s="64"/>
      <c r="C39" s="64"/>
      <c r="D39" s="64"/>
      <c r="E39" s="65"/>
    </row>
    <row r="40" spans="1:7" x14ac:dyDescent="0.25">
      <c r="A40" s="62" t="s">
        <v>33</v>
      </c>
      <c r="B40" s="64">
        <v>2000</v>
      </c>
      <c r="C40" s="64">
        <v>2400</v>
      </c>
      <c r="D40" s="64">
        <v>2500</v>
      </c>
      <c r="E40" s="65"/>
    </row>
    <row r="41" spans="1:7" ht="15.6" thickBot="1" x14ac:dyDescent="0.3">
      <c r="A41" s="62" t="s">
        <v>34</v>
      </c>
      <c r="B41" s="70">
        <v>17000</v>
      </c>
      <c r="C41" s="70">
        <v>18000</v>
      </c>
      <c r="D41" s="70">
        <v>20365</v>
      </c>
      <c r="E41" s="65" t="s">
        <v>121</v>
      </c>
    </row>
    <row r="42" spans="1:7" ht="15.6" x14ac:dyDescent="0.3">
      <c r="A42" s="57" t="s">
        <v>35</v>
      </c>
      <c r="B42" s="71">
        <v>19000</v>
      </c>
      <c r="C42" s="71">
        <f>SUM(C40:C41)</f>
        <v>20400</v>
      </c>
      <c r="D42" s="71">
        <f>SUM(D40:D41)</f>
        <v>22865</v>
      </c>
      <c r="E42" s="65"/>
    </row>
    <row r="43" spans="1:7" x14ac:dyDescent="0.25">
      <c r="B43" s="64"/>
      <c r="C43" s="64"/>
      <c r="D43" s="64"/>
      <c r="E43" s="65"/>
    </row>
    <row r="44" spans="1:7" ht="15.6" x14ac:dyDescent="0.3">
      <c r="A44" s="57" t="s">
        <v>127</v>
      </c>
      <c r="B44" s="71">
        <v>11768.598695004146</v>
      </c>
      <c r="C44" s="71">
        <f>973.8*12</f>
        <v>11685.599999999999</v>
      </c>
      <c r="D44" s="71">
        <f>SUM('reserves 2015'!H15)</f>
        <v>8799.1555511613496</v>
      </c>
      <c r="E44" s="65"/>
    </row>
    <row r="45" spans="1:7" ht="16.2" thickBot="1" x14ac:dyDescent="0.35">
      <c r="A45" s="57" t="s">
        <v>70</v>
      </c>
      <c r="B45" s="70">
        <v>23088</v>
      </c>
      <c r="C45" s="70"/>
      <c r="D45" s="72">
        <f>SUM('reserves 2015'!G15)</f>
        <v>29330.518503871164</v>
      </c>
      <c r="E45" s="65"/>
      <c r="G45" s="71"/>
    </row>
    <row r="46" spans="1:7" ht="15.6" x14ac:dyDescent="0.3">
      <c r="A46" s="57" t="s">
        <v>83</v>
      </c>
      <c r="B46" s="68">
        <v>102158</v>
      </c>
      <c r="C46" s="68">
        <f>SUM(C42+C37+C29+C27+C18)</f>
        <v>98690</v>
      </c>
      <c r="D46" s="68">
        <f>D42+D37+D29+D27+D18</f>
        <v>100085</v>
      </c>
      <c r="E46" s="73"/>
    </row>
    <row r="48" spans="1:7" ht="33.75" customHeight="1" x14ac:dyDescent="0.3">
      <c r="A48" s="106" t="s">
        <v>56</v>
      </c>
      <c r="B48" s="106" t="s">
        <v>57</v>
      </c>
      <c r="C48" s="107" t="s">
        <v>112</v>
      </c>
    </row>
    <row r="49" spans="1:8" ht="33.75" customHeight="1" x14ac:dyDescent="0.3">
      <c r="A49" s="108" t="s">
        <v>101</v>
      </c>
      <c r="B49" s="88">
        <v>3.49E-2</v>
      </c>
      <c r="C49" s="109">
        <f>SUM(D5*0.0349)/12</f>
        <v>290.20702375000002</v>
      </c>
      <c r="E49" s="81"/>
      <c r="H49" s="81"/>
    </row>
    <row r="50" spans="1:8" ht="33.75" customHeight="1" x14ac:dyDescent="0.3">
      <c r="A50" s="110" t="s">
        <v>102</v>
      </c>
      <c r="B50" s="88">
        <v>3.8600000000000002E-2</v>
      </c>
      <c r="C50" s="109">
        <f>SUM(D5*0.0386)/12</f>
        <v>320.97395750000004</v>
      </c>
      <c r="E50" s="81">
        <f>SUM(C50*1.05)</f>
        <v>337.02265537500006</v>
      </c>
    </row>
    <row r="51" spans="1:8" ht="33.75" customHeight="1" x14ac:dyDescent="0.3">
      <c r="A51" s="108" t="s">
        <v>103</v>
      </c>
      <c r="B51" s="88">
        <v>4.1399999999999999E-2</v>
      </c>
      <c r="C51" s="109">
        <f>SUM(D5*0.0414)/12</f>
        <v>344.25704250000007</v>
      </c>
      <c r="E51" s="81"/>
    </row>
    <row r="52" spans="1:8" x14ac:dyDescent="0.25">
      <c r="E52" s="81"/>
    </row>
  </sheetData>
  <mergeCells count="1">
    <mergeCell ref="A1:D1"/>
  </mergeCells>
  <phoneticPr fontId="1" type="noConversion"/>
  <pageMargins left="0.25" right="0.28999999999999998" top="1" bottom="1" header="0.5" footer="0.5"/>
  <pageSetup scale="60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O38"/>
  <sheetViews>
    <sheetView view="pageBreakPreview" zoomScale="60" workbookViewId="0">
      <selection activeCell="G23" sqref="G23"/>
    </sheetView>
  </sheetViews>
  <sheetFormatPr defaultColWidth="8.77734375" defaultRowHeight="13.2" x14ac:dyDescent="0.25"/>
  <cols>
    <col min="1" max="1" width="36.44140625" customWidth="1"/>
    <col min="2" max="2" width="28.44140625" customWidth="1"/>
    <col min="3" max="3" width="29.77734375" customWidth="1"/>
    <col min="4" max="4" width="19.21875" customWidth="1"/>
    <col min="5" max="5" width="23.44140625" customWidth="1"/>
    <col min="6" max="6" width="18.77734375" customWidth="1"/>
    <col min="7" max="7" width="19.77734375" bestFit="1" customWidth="1"/>
    <col min="8" max="8" width="19.77734375" customWidth="1"/>
    <col min="9" max="10" width="20.21875" bestFit="1" customWidth="1"/>
    <col min="11" max="11" width="20.21875" style="3" bestFit="1" customWidth="1"/>
    <col min="15" max="15" width="10.44140625" bestFit="1" customWidth="1"/>
  </cols>
  <sheetData>
    <row r="2" spans="1:11" ht="15.6" x14ac:dyDescent="0.3">
      <c r="A2" s="206">
        <v>2015</v>
      </c>
      <c r="B2" s="206"/>
      <c r="C2" s="206"/>
      <c r="D2" s="206"/>
      <c r="E2" s="206"/>
      <c r="F2" s="206"/>
      <c r="G2" s="206"/>
      <c r="H2" s="206"/>
      <c r="I2" s="57"/>
      <c r="J2" s="57"/>
      <c r="K2" s="57"/>
    </row>
    <row r="3" spans="1:11" x14ac:dyDescent="0.25">
      <c r="A3" s="11" t="s">
        <v>44</v>
      </c>
      <c r="B3" s="11" t="s">
        <v>45</v>
      </c>
      <c r="C3" s="11" t="s">
        <v>45</v>
      </c>
      <c r="D3" s="12" t="s">
        <v>46</v>
      </c>
      <c r="E3" s="11" t="s">
        <v>47</v>
      </c>
      <c r="F3" s="11" t="s">
        <v>48</v>
      </c>
      <c r="G3" s="93">
        <v>1</v>
      </c>
      <c r="H3" s="93">
        <v>0.3</v>
      </c>
      <c r="K3"/>
    </row>
    <row r="4" spans="1:11" x14ac:dyDescent="0.25">
      <c r="A4" s="10"/>
      <c r="B4" s="11" t="s">
        <v>49</v>
      </c>
      <c r="C4" s="11" t="s">
        <v>50</v>
      </c>
      <c r="D4" s="12" t="s">
        <v>51</v>
      </c>
      <c r="E4" s="11" t="s">
        <v>118</v>
      </c>
      <c r="F4" s="11" t="s">
        <v>52</v>
      </c>
      <c r="G4" s="11" t="s">
        <v>120</v>
      </c>
      <c r="H4" s="13" t="s">
        <v>120</v>
      </c>
      <c r="K4"/>
    </row>
    <row r="5" spans="1:11" x14ac:dyDescent="0.25">
      <c r="A5" s="10"/>
      <c r="B5" s="11"/>
      <c r="C5" s="11"/>
      <c r="D5" s="12"/>
      <c r="E5" s="11"/>
      <c r="F5" s="11"/>
      <c r="G5" s="11"/>
      <c r="H5" s="53"/>
      <c r="K5"/>
    </row>
    <row r="6" spans="1:11" x14ac:dyDescent="0.25">
      <c r="A6" s="10" t="s">
        <v>59</v>
      </c>
      <c r="B6" s="11">
        <v>9</v>
      </c>
      <c r="C6" s="15">
        <v>27069</v>
      </c>
      <c r="D6" s="12">
        <v>0.22</v>
      </c>
      <c r="E6" s="32">
        <f>(E15*0.22)+828.38</f>
        <v>25810.4316</v>
      </c>
      <c r="F6" s="14">
        <v>2</v>
      </c>
      <c r="G6" s="15">
        <f>(C6-E6)/F6</f>
        <v>629.28420000000006</v>
      </c>
      <c r="H6" s="54">
        <f>SUM(G6*0.3)</f>
        <v>188.78526000000002</v>
      </c>
      <c r="K6"/>
    </row>
    <row r="7" spans="1:11" x14ac:dyDescent="0.25">
      <c r="A7" s="10" t="s">
        <v>60</v>
      </c>
      <c r="B7" s="11">
        <v>12</v>
      </c>
      <c r="C7" s="15">
        <v>10000</v>
      </c>
      <c r="D7" s="12">
        <v>0.03</v>
      </c>
      <c r="E7" s="32">
        <f>(E15*D7)+1374.72</f>
        <v>4781.3634000000002</v>
      </c>
      <c r="F7" s="14">
        <v>2</v>
      </c>
      <c r="G7" s="15">
        <f t="shared" ref="G7:G13" si="0">(C7-E7)/F7</f>
        <v>2609.3182999999999</v>
      </c>
      <c r="H7" s="54">
        <f>SUM(G7*0.3)</f>
        <v>782.79548999999997</v>
      </c>
      <c r="K7"/>
    </row>
    <row r="8" spans="1:11" x14ac:dyDescent="0.25">
      <c r="A8" s="10" t="s">
        <v>53</v>
      </c>
      <c r="B8" s="11">
        <v>8</v>
      </c>
      <c r="C8" s="15">
        <v>21156</v>
      </c>
      <c r="D8" s="12">
        <v>0.17</v>
      </c>
      <c r="E8" s="32">
        <f>(E15*D8)-1800+698.62-16485</f>
        <v>1717.9326000000001</v>
      </c>
      <c r="F8" s="14">
        <v>6</v>
      </c>
      <c r="G8" s="15">
        <f t="shared" si="0"/>
        <v>3239.6779000000001</v>
      </c>
      <c r="H8" s="54">
        <f>SUM(G8*0.3)</f>
        <v>971.90337</v>
      </c>
      <c r="K8"/>
    </row>
    <row r="9" spans="1:11" x14ac:dyDescent="0.25">
      <c r="A9" s="10" t="s">
        <v>61</v>
      </c>
      <c r="B9" s="11">
        <v>1</v>
      </c>
      <c r="C9" s="15">
        <v>1855</v>
      </c>
      <c r="D9" s="12">
        <v>0</v>
      </c>
      <c r="E9" s="32">
        <f>1855</f>
        <v>1855</v>
      </c>
      <c r="F9" s="14">
        <v>1</v>
      </c>
      <c r="G9" s="15">
        <f t="shared" si="0"/>
        <v>0</v>
      </c>
      <c r="H9" s="54">
        <f t="shared" ref="H9:H14" si="1">SUM(G9*0.4)</f>
        <v>0</v>
      </c>
      <c r="K9"/>
    </row>
    <row r="10" spans="1:11" x14ac:dyDescent="0.25">
      <c r="A10" s="10" t="s">
        <v>62</v>
      </c>
      <c r="B10" s="11">
        <v>20</v>
      </c>
      <c r="C10" s="15">
        <v>14000</v>
      </c>
      <c r="D10" s="12">
        <f>7431/97701</f>
        <v>7.6058586913132928E-2</v>
      </c>
      <c r="E10" s="32">
        <f>(E15*D10)+303.68</f>
        <v>8940.4961040316884</v>
      </c>
      <c r="F10" s="14">
        <v>6</v>
      </c>
      <c r="G10" s="15">
        <f t="shared" si="0"/>
        <v>843.25064932805196</v>
      </c>
      <c r="H10" s="54">
        <f>SUM(G10*0.3)</f>
        <v>252.97519479841557</v>
      </c>
      <c r="K10"/>
    </row>
    <row r="11" spans="1:11" x14ac:dyDescent="0.25">
      <c r="A11" s="10" t="s">
        <v>63</v>
      </c>
      <c r="B11" s="11">
        <v>1</v>
      </c>
      <c r="C11" s="15">
        <v>3060</v>
      </c>
      <c r="D11" s="12">
        <v>0</v>
      </c>
      <c r="E11" s="32">
        <v>3060</v>
      </c>
      <c r="F11" s="14">
        <v>1</v>
      </c>
      <c r="G11" s="15">
        <f t="shared" si="0"/>
        <v>0</v>
      </c>
      <c r="H11" s="54">
        <f t="shared" si="1"/>
        <v>0</v>
      </c>
      <c r="K11"/>
    </row>
    <row r="12" spans="1:11" x14ac:dyDescent="0.25">
      <c r="A12" s="10" t="s">
        <v>64</v>
      </c>
      <c r="B12" s="11">
        <v>5</v>
      </c>
      <c r="C12" s="15">
        <v>20000</v>
      </c>
      <c r="D12" s="12">
        <v>0.13</v>
      </c>
      <c r="E12" s="32">
        <f>(E15*D12)+516.17</f>
        <v>15278.2914</v>
      </c>
      <c r="F12" s="14">
        <v>4</v>
      </c>
      <c r="G12" s="15">
        <f t="shared" si="0"/>
        <v>1180.42715</v>
      </c>
      <c r="H12" s="54">
        <f>SUM(G12*0.3)</f>
        <v>354.12814499999996</v>
      </c>
      <c r="K12"/>
    </row>
    <row r="13" spans="1:11" x14ac:dyDescent="0.25">
      <c r="A13" s="10" t="s">
        <v>54</v>
      </c>
      <c r="B13" s="11">
        <v>20</v>
      </c>
      <c r="C13" s="15">
        <v>300000</v>
      </c>
      <c r="D13" s="12">
        <f>36655/97701</f>
        <v>0.37517527967983949</v>
      </c>
      <c r="E13" s="32">
        <f>(E15*D13)+7454.33</f>
        <v>50057.276345482642</v>
      </c>
      <c r="F13" s="14">
        <v>12</v>
      </c>
      <c r="G13" s="15">
        <f t="shared" si="0"/>
        <v>20828.560304543113</v>
      </c>
      <c r="H13" s="54">
        <f>SUM(G13*0.3)</f>
        <v>6248.568091362934</v>
      </c>
      <c r="K13"/>
    </row>
    <row r="14" spans="1:11" x14ac:dyDescent="0.25">
      <c r="A14" s="10" t="s">
        <v>65</v>
      </c>
      <c r="B14" s="11">
        <v>5</v>
      </c>
      <c r="C14" s="15">
        <v>1411</v>
      </c>
      <c r="D14" s="12">
        <v>0</v>
      </c>
      <c r="E14" s="32">
        <v>1411</v>
      </c>
      <c r="F14" s="14">
        <v>3</v>
      </c>
      <c r="G14" s="15">
        <f>(C14-E14)/F14</f>
        <v>0</v>
      </c>
      <c r="H14" s="54">
        <f t="shared" si="1"/>
        <v>0</v>
      </c>
      <c r="K14"/>
    </row>
    <row r="15" spans="1:11" ht="13.8" thickBot="1" x14ac:dyDescent="0.3">
      <c r="A15" s="17" t="s">
        <v>55</v>
      </c>
      <c r="B15" s="18"/>
      <c r="C15" s="19">
        <f>SUM(C6:C14)</f>
        <v>398551</v>
      </c>
      <c r="D15" s="20">
        <f>SUM(D6:D14)</f>
        <v>1.0012338665929725</v>
      </c>
      <c r="E15" s="19">
        <f>99625.37+4588.61+9340.8</f>
        <v>113554.78</v>
      </c>
      <c r="F15" s="19"/>
      <c r="G15" s="19">
        <f>SUM(G6:G14)</f>
        <v>29330.518503871164</v>
      </c>
      <c r="H15" s="55">
        <f>SUM(H6:H14)</f>
        <v>8799.1555511613496</v>
      </c>
      <c r="K15"/>
    </row>
    <row r="17" spans="1:15" x14ac:dyDescent="0.25">
      <c r="J17" s="31"/>
    </row>
    <row r="18" spans="1:15" ht="15.6" x14ac:dyDescent="0.3">
      <c r="A18" s="206" t="s">
        <v>1</v>
      </c>
      <c r="B18" s="206"/>
      <c r="C18" s="206"/>
      <c r="D18" s="206"/>
      <c r="E18" s="206"/>
      <c r="F18" s="57"/>
      <c r="G18" s="57"/>
      <c r="I18" s="31"/>
      <c r="J18" s="31"/>
      <c r="K18" s="4"/>
    </row>
    <row r="19" spans="1:15" ht="100.5" customHeight="1" x14ac:dyDescent="0.25">
      <c r="A19" s="94" t="s">
        <v>56</v>
      </c>
      <c r="B19" s="94" t="s">
        <v>57</v>
      </c>
      <c r="C19" s="95" t="s">
        <v>112</v>
      </c>
      <c r="D19" s="95" t="s">
        <v>122</v>
      </c>
      <c r="E19" s="96" t="s">
        <v>68</v>
      </c>
      <c r="F19" s="31"/>
      <c r="G19" s="31"/>
      <c r="H19">
        <f>H15/12</f>
        <v>733.26296259677918</v>
      </c>
      <c r="I19" s="4"/>
      <c r="K19">
        <f>973*80*12</f>
        <v>934080</v>
      </c>
    </row>
    <row r="20" spans="1:15" ht="18.75" customHeight="1" x14ac:dyDescent="0.25">
      <c r="A20" s="97" t="s">
        <v>101</v>
      </c>
      <c r="B20" s="98">
        <v>3.49E-2</v>
      </c>
      <c r="C20" s="99">
        <f>SUM('budget 2015'!C49)</f>
        <v>290.20702375000002</v>
      </c>
      <c r="D20" s="100">
        <f>SUM(H15*B20/12)</f>
        <v>25.590877394627594</v>
      </c>
      <c r="E20" s="100">
        <f>SUM(G15*B20/12)</f>
        <v>85.302924648758633</v>
      </c>
      <c r="F20" s="31"/>
      <c r="G20" s="31">
        <f>SUM(C20:D20)</f>
        <v>315.79790114462759</v>
      </c>
      <c r="I20" s="3"/>
      <c r="K20"/>
    </row>
    <row r="21" spans="1:15" ht="45" x14ac:dyDescent="0.25">
      <c r="A21" s="97" t="s">
        <v>102</v>
      </c>
      <c r="B21" s="98">
        <v>3.8600000000000002E-2</v>
      </c>
      <c r="C21" s="99">
        <f>SUM('budget 2015'!C50)</f>
        <v>320.97395750000004</v>
      </c>
      <c r="D21" s="100">
        <f>SUM(H15*B21/12)</f>
        <v>28.303950356235674</v>
      </c>
      <c r="E21" s="100">
        <f>SUM(G15*B21/12)</f>
        <v>94.346501187452247</v>
      </c>
      <c r="F21" s="31"/>
      <c r="G21" s="31">
        <f>SUM(C21:D21)</f>
        <v>349.27790785623574</v>
      </c>
      <c r="I21" s="3"/>
      <c r="K21"/>
    </row>
    <row r="22" spans="1:15" ht="28.5" customHeight="1" x14ac:dyDescent="0.25">
      <c r="A22" s="97" t="s">
        <v>103</v>
      </c>
      <c r="B22" s="98">
        <v>4.1399999999999999E-2</v>
      </c>
      <c r="C22" s="99">
        <f>SUM('budget 2015'!C51)</f>
        <v>344.25704250000007</v>
      </c>
      <c r="D22" s="100">
        <f>SUM(H15*B22/12)</f>
        <v>30.357086651506659</v>
      </c>
      <c r="E22" s="100">
        <f>SUM(G15*B22/12)</f>
        <v>101.19028883835551</v>
      </c>
      <c r="F22" s="31"/>
      <c r="G22" s="31">
        <f>SUM(C22:D22)</f>
        <v>374.61412915150675</v>
      </c>
      <c r="I22" s="3"/>
      <c r="K22"/>
    </row>
    <row r="23" spans="1:15" x14ac:dyDescent="0.25">
      <c r="G23" s="31"/>
      <c r="H23" s="31"/>
    </row>
    <row r="25" spans="1:15" x14ac:dyDescent="0.25">
      <c r="A25" s="191" t="s">
        <v>42</v>
      </c>
      <c r="B25" s="191"/>
      <c r="C25" s="191"/>
      <c r="D25" s="191"/>
      <c r="E25" s="191"/>
      <c r="F25" s="191"/>
      <c r="G25" s="191"/>
      <c r="H25" s="191"/>
      <c r="I25" s="191"/>
      <c r="J25" s="191"/>
    </row>
    <row r="26" spans="1:15" x14ac:dyDescent="0.25">
      <c r="A26" s="191"/>
      <c r="B26" s="191"/>
      <c r="C26" s="191"/>
      <c r="D26" s="191"/>
      <c r="E26" s="191"/>
      <c r="F26" s="191"/>
      <c r="G26" s="191"/>
      <c r="H26" s="191"/>
      <c r="I26" s="191"/>
      <c r="J26" s="191"/>
      <c r="O26" s="31">
        <f>SUM(H15/12)</f>
        <v>733.26296259677918</v>
      </c>
    </row>
    <row r="27" spans="1:15" x14ac:dyDescent="0.25">
      <c r="O27" s="31">
        <f>O26*7</f>
        <v>5132.8407381774541</v>
      </c>
    </row>
    <row r="28" spans="1:15" x14ac:dyDescent="0.25">
      <c r="A28" s="4"/>
      <c r="B28" s="44"/>
      <c r="C28" s="44"/>
      <c r="E28" s="31"/>
    </row>
    <row r="29" spans="1:15" ht="17.399999999999999" x14ac:dyDescent="0.3">
      <c r="A29" s="194" t="s">
        <v>128</v>
      </c>
      <c r="B29" s="194"/>
      <c r="C29" s="194"/>
    </row>
    <row r="30" spans="1:15" ht="36" customHeight="1" x14ac:dyDescent="0.3">
      <c r="A30" s="101" t="s">
        <v>123</v>
      </c>
      <c r="B30" s="102" t="s">
        <v>124</v>
      </c>
      <c r="C30" s="204" t="s">
        <v>125</v>
      </c>
    </row>
    <row r="31" spans="1:15" ht="18" thickBot="1" x14ac:dyDescent="0.35">
      <c r="A31" s="91">
        <v>8000</v>
      </c>
      <c r="B31" s="92">
        <v>1740.7</v>
      </c>
      <c r="C31" s="205"/>
    </row>
    <row r="32" spans="1:15" ht="17.399999999999999" x14ac:dyDescent="0.3">
      <c r="A32" s="84" t="s">
        <v>56</v>
      </c>
      <c r="B32" s="85" t="s">
        <v>57</v>
      </c>
      <c r="C32" s="86" t="s">
        <v>126</v>
      </c>
    </row>
    <row r="33" spans="1:5" ht="17.399999999999999" x14ac:dyDescent="0.3">
      <c r="A33" s="87" t="s">
        <v>101</v>
      </c>
      <c r="B33" s="88">
        <v>3.49E-2</v>
      </c>
      <c r="C33" s="89">
        <f>SUM(A31*B33)</f>
        <v>279.2</v>
      </c>
    </row>
    <row r="34" spans="1:5" ht="69.599999999999994" x14ac:dyDescent="0.3">
      <c r="A34" s="90" t="s">
        <v>102</v>
      </c>
      <c r="B34" s="88">
        <v>3.8600000000000002E-2</v>
      </c>
      <c r="C34" s="89">
        <f>SUM(A31*B34)</f>
        <v>308.8</v>
      </c>
    </row>
    <row r="35" spans="1:5" ht="17.399999999999999" x14ac:dyDescent="0.3">
      <c r="A35" s="103" t="s">
        <v>103</v>
      </c>
      <c r="B35" s="104">
        <v>4.1399999999999999E-2</v>
      </c>
      <c r="C35" s="105">
        <f>SUM(A31*B35)</f>
        <v>331.2</v>
      </c>
      <c r="E35" s="60"/>
    </row>
    <row r="36" spans="1:5" x14ac:dyDescent="0.25">
      <c r="A36" s="195" t="s">
        <v>129</v>
      </c>
      <c r="B36" s="196"/>
      <c r="C36" s="197"/>
      <c r="E36" s="111"/>
    </row>
    <row r="37" spans="1:5" x14ac:dyDescent="0.25">
      <c r="A37" s="198"/>
      <c r="B37" s="199"/>
      <c r="C37" s="200"/>
      <c r="E37" s="111"/>
    </row>
    <row r="38" spans="1:5" x14ac:dyDescent="0.25">
      <c r="A38" s="201"/>
      <c r="B38" s="202"/>
      <c r="C38" s="203"/>
      <c r="E38" s="111"/>
    </row>
  </sheetData>
  <mergeCells count="6">
    <mergeCell ref="A29:C29"/>
    <mergeCell ref="A36:C38"/>
    <mergeCell ref="C30:C31"/>
    <mergeCell ref="A25:J26"/>
    <mergeCell ref="A2:H2"/>
    <mergeCell ref="A18:E18"/>
  </mergeCells>
  <phoneticPr fontId="1" type="noConversion"/>
  <pageMargins left="0.75" right="0.2" top="1" bottom="1" header="0.5" footer="0.5"/>
  <pageSetup scale="59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D10"/>
  <sheetViews>
    <sheetView workbookViewId="0">
      <selection activeCell="A8" sqref="A1:D10"/>
    </sheetView>
  </sheetViews>
  <sheetFormatPr defaultColWidth="8.77734375" defaultRowHeight="13.2" x14ac:dyDescent="0.25"/>
  <cols>
    <col min="1" max="1" width="42.77734375" style="3" bestFit="1" customWidth="1"/>
    <col min="2" max="2" width="16.44140625" style="3" bestFit="1" customWidth="1"/>
    <col min="3" max="3" width="9.44140625" style="3" bestFit="1" customWidth="1"/>
    <col min="4" max="4" width="11.5546875" customWidth="1"/>
  </cols>
  <sheetData>
    <row r="1" spans="1:4" ht="13.8" x14ac:dyDescent="0.25">
      <c r="A1" s="210" t="s">
        <v>128</v>
      </c>
      <c r="B1" s="211"/>
      <c r="C1" s="211"/>
      <c r="D1" s="212"/>
    </row>
    <row r="2" spans="1:4" ht="13.8" x14ac:dyDescent="0.25">
      <c r="A2" s="118" t="s">
        <v>123</v>
      </c>
      <c r="B2" s="119" t="s">
        <v>124</v>
      </c>
      <c r="C2" s="208" t="s">
        <v>126</v>
      </c>
      <c r="D2" s="209" t="s">
        <v>131</v>
      </c>
    </row>
    <row r="3" spans="1:4" ht="15.75" customHeight="1" thickBot="1" x14ac:dyDescent="0.3">
      <c r="A3" s="120">
        <v>8000</v>
      </c>
      <c r="B3" s="121">
        <v>1740.7</v>
      </c>
      <c r="C3" s="208"/>
      <c r="D3" s="209"/>
    </row>
    <row r="4" spans="1:4" ht="13.8" x14ac:dyDescent="0.25">
      <c r="A4" s="122" t="s">
        <v>56</v>
      </c>
      <c r="B4" s="123" t="s">
        <v>57</v>
      </c>
      <c r="C4" s="208"/>
      <c r="D4" s="209"/>
    </row>
    <row r="5" spans="1:4" ht="13.8" x14ac:dyDescent="0.25">
      <c r="A5" s="124" t="s">
        <v>101</v>
      </c>
      <c r="B5" s="125">
        <v>3.49E-2</v>
      </c>
      <c r="C5" s="126">
        <f>SUM(A3*B5)</f>
        <v>279.2</v>
      </c>
      <c r="D5" s="132">
        <f>SUM(C5/2)</f>
        <v>139.6</v>
      </c>
    </row>
    <row r="6" spans="1:4" ht="60.75" customHeight="1" x14ac:dyDescent="0.25">
      <c r="A6" s="127" t="s">
        <v>102</v>
      </c>
      <c r="B6" s="125">
        <v>3.8600000000000002E-2</v>
      </c>
      <c r="C6" s="126">
        <f>SUM(A3*B6)</f>
        <v>308.8</v>
      </c>
      <c r="D6" s="132">
        <f t="shared" ref="D6:D7" si="0">SUM(C6/2)</f>
        <v>154.4</v>
      </c>
    </row>
    <row r="7" spans="1:4" ht="13.8" x14ac:dyDescent="0.25">
      <c r="A7" s="128" t="s">
        <v>103</v>
      </c>
      <c r="B7" s="129">
        <v>4.1399999999999999E-2</v>
      </c>
      <c r="C7" s="130">
        <f>SUM(A3*B7)</f>
        <v>331.2</v>
      </c>
      <c r="D7" s="133">
        <f t="shared" si="0"/>
        <v>165.6</v>
      </c>
    </row>
    <row r="8" spans="1:4" ht="12.75" customHeight="1" x14ac:dyDescent="0.25">
      <c r="A8" s="207" t="s">
        <v>129</v>
      </c>
      <c r="B8" s="207"/>
      <c r="C8" s="207"/>
      <c r="D8" s="207"/>
    </row>
    <row r="9" spans="1:4" ht="12.75" customHeight="1" x14ac:dyDescent="0.25">
      <c r="A9" s="207"/>
      <c r="B9" s="207"/>
      <c r="C9" s="207"/>
      <c r="D9" s="207"/>
    </row>
    <row r="10" spans="1:4" ht="12.75" customHeight="1" x14ac:dyDescent="0.25">
      <c r="A10" s="207"/>
      <c r="B10" s="207"/>
      <c r="C10" s="207"/>
      <c r="D10" s="207"/>
    </row>
  </sheetData>
  <mergeCells count="4">
    <mergeCell ref="A8:D10"/>
    <mergeCell ref="C2:C4"/>
    <mergeCell ref="D2:D4"/>
    <mergeCell ref="A1:D1"/>
  </mergeCells>
  <pageMargins left="0.7" right="0.7" top="0.75" bottom="0.75" header="0.3" footer="0.3"/>
  <pageSetup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E6"/>
  <sheetViews>
    <sheetView workbookViewId="0">
      <selection activeCell="E6" sqref="A2:E6"/>
    </sheetView>
  </sheetViews>
  <sheetFormatPr defaultColWidth="8.77734375" defaultRowHeight="13.2" x14ac:dyDescent="0.25"/>
  <cols>
    <col min="1" max="1" width="28.77734375" bestFit="1" customWidth="1"/>
    <col min="2" max="2" width="11.44140625" bestFit="1" customWidth="1"/>
    <col min="3" max="3" width="12.21875" customWidth="1"/>
    <col min="4" max="4" width="13.77734375" customWidth="1"/>
    <col min="5" max="5" width="14.5546875" customWidth="1"/>
  </cols>
  <sheetData>
    <row r="2" spans="1:5" ht="25.5" customHeight="1" x14ac:dyDescent="0.25">
      <c r="A2" s="213" t="s">
        <v>1</v>
      </c>
      <c r="B2" s="213"/>
      <c r="C2" s="213"/>
      <c r="D2" s="213"/>
      <c r="E2" s="213"/>
    </row>
    <row r="3" spans="1:5" ht="79.2" x14ac:dyDescent="0.25">
      <c r="A3" s="115" t="s">
        <v>56</v>
      </c>
      <c r="B3" s="115" t="s">
        <v>57</v>
      </c>
      <c r="C3" s="115" t="s">
        <v>112</v>
      </c>
      <c r="D3" s="115" t="s">
        <v>122</v>
      </c>
      <c r="E3" s="117" t="s">
        <v>130</v>
      </c>
    </row>
    <row r="4" spans="1:5" x14ac:dyDescent="0.25">
      <c r="A4" s="112" t="s">
        <v>101</v>
      </c>
      <c r="B4" s="113">
        <v>3.49E-2</v>
      </c>
      <c r="C4" s="114">
        <v>290.20702375000002</v>
      </c>
      <c r="D4" s="114">
        <v>25.590877394627594</v>
      </c>
      <c r="E4" s="116">
        <f>SUM(C4+D4)</f>
        <v>315.79790114462759</v>
      </c>
    </row>
    <row r="5" spans="1:5" ht="39.6" x14ac:dyDescent="0.25">
      <c r="A5" s="112" t="s">
        <v>102</v>
      </c>
      <c r="B5" s="113">
        <v>3.8600000000000002E-2</v>
      </c>
      <c r="C5" s="114">
        <v>320.97395750000004</v>
      </c>
      <c r="D5" s="114">
        <v>28.303950356235674</v>
      </c>
      <c r="E5" s="116">
        <f t="shared" ref="E5:E6" si="0">SUM(C5+D5)</f>
        <v>349.27790785623574</v>
      </c>
    </row>
    <row r="6" spans="1:5" x14ac:dyDescent="0.25">
      <c r="A6" s="112" t="s">
        <v>103</v>
      </c>
      <c r="B6" s="113">
        <v>4.1399999999999999E-2</v>
      </c>
      <c r="C6" s="114">
        <v>344.25704250000007</v>
      </c>
      <c r="D6" s="114">
        <v>30.357086651506659</v>
      </c>
      <c r="E6" s="116">
        <f t="shared" si="0"/>
        <v>374.61412915150675</v>
      </c>
    </row>
  </sheetData>
  <mergeCells count="1">
    <mergeCell ref="A2:E2"/>
  </mergeCells>
  <pageMargins left="0.7" right="0.7" top="0.75" bottom="0.75" header="0.3" footer="0.3"/>
  <pageSetup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H51"/>
  <sheetViews>
    <sheetView view="pageBreakPreview" topLeftCell="A7" zoomScale="60" workbookViewId="0">
      <selection activeCell="E5" sqref="E5"/>
    </sheetView>
  </sheetViews>
  <sheetFormatPr defaultColWidth="8.77734375" defaultRowHeight="15" x14ac:dyDescent="0.25"/>
  <cols>
    <col min="1" max="1" width="56.21875" style="62" bestFit="1" customWidth="1"/>
    <col min="2" max="2" width="25.44140625" style="77" bestFit="1" customWidth="1"/>
    <col min="3" max="3" width="43.5546875" style="77" bestFit="1" customWidth="1"/>
    <col min="4" max="4" width="25.44140625" style="77" bestFit="1" customWidth="1"/>
    <col min="5" max="5" width="15.44140625" style="62" bestFit="1" customWidth="1"/>
    <col min="6" max="6" width="8.77734375" style="62"/>
    <col min="7" max="7" width="9.44140625" style="62" bestFit="1" customWidth="1"/>
    <col min="8" max="16384" width="8.77734375" style="62"/>
  </cols>
  <sheetData>
    <row r="1" spans="1:5" ht="42.75" customHeight="1" x14ac:dyDescent="0.3">
      <c r="A1" s="192" t="s">
        <v>132</v>
      </c>
      <c r="B1" s="193"/>
      <c r="C1" s="193"/>
      <c r="D1" s="193"/>
    </row>
    <row r="3" spans="1:5" ht="15.6" x14ac:dyDescent="0.3">
      <c r="B3" s="61" t="s">
        <v>107</v>
      </c>
      <c r="C3" s="61" t="s">
        <v>37</v>
      </c>
      <c r="D3" s="61" t="s">
        <v>72</v>
      </c>
      <c r="E3" s="60"/>
    </row>
    <row r="4" spans="1:5" ht="15.6" x14ac:dyDescent="0.3">
      <c r="A4" s="57" t="s">
        <v>0</v>
      </c>
      <c r="B4" s="61">
        <v>2015</v>
      </c>
      <c r="C4" s="61">
        <v>2015</v>
      </c>
      <c r="D4" s="61">
        <v>2016</v>
      </c>
      <c r="E4" s="63"/>
    </row>
    <row r="5" spans="1:5" x14ac:dyDescent="0.25">
      <c r="A5" s="62" t="s">
        <v>1</v>
      </c>
      <c r="B5" s="64">
        <v>95033.000000000015</v>
      </c>
      <c r="C5" s="64">
        <v>110000</v>
      </c>
      <c r="D5" s="64">
        <f>95033*1.05</f>
        <v>99784.650000000009</v>
      </c>
      <c r="E5" s="65"/>
    </row>
    <row r="6" spans="1:5" ht="15.6" thickBot="1" x14ac:dyDescent="0.3">
      <c r="A6" s="62" t="s">
        <v>2</v>
      </c>
      <c r="B6" s="66">
        <v>300</v>
      </c>
      <c r="C6" s="66">
        <v>700</v>
      </c>
      <c r="D6" s="66">
        <v>400</v>
      </c>
      <c r="E6" s="65"/>
    </row>
    <row r="7" spans="1:5" ht="16.2" thickTop="1" x14ac:dyDescent="0.3">
      <c r="A7" s="67" t="s">
        <v>108</v>
      </c>
      <c r="B7" s="68">
        <v>95333.000000000015</v>
      </c>
      <c r="C7" s="68">
        <f>SUM(C5:C6)</f>
        <v>110700</v>
      </c>
      <c r="D7" s="69">
        <f>SUM(D5:D6)</f>
        <v>100184.65000000001</v>
      </c>
      <c r="E7" s="65"/>
    </row>
    <row r="8" spans="1:5" ht="15.6" x14ac:dyDescent="0.3">
      <c r="A8" s="57" t="s">
        <v>4</v>
      </c>
      <c r="B8" s="64"/>
      <c r="C8" s="64"/>
      <c r="D8" s="64"/>
      <c r="E8" s="65"/>
    </row>
    <row r="9" spans="1:5" ht="15.6" x14ac:dyDescent="0.3">
      <c r="A9" s="57" t="s">
        <v>5</v>
      </c>
      <c r="B9" s="64"/>
      <c r="C9" s="64"/>
      <c r="D9" s="64"/>
      <c r="E9" s="65"/>
    </row>
    <row r="10" spans="1:5" x14ac:dyDescent="0.25">
      <c r="A10" s="62" t="s">
        <v>38</v>
      </c>
      <c r="B10" s="64">
        <v>3000</v>
      </c>
      <c r="C10" s="64">
        <v>3000</v>
      </c>
      <c r="D10" s="64">
        <v>0</v>
      </c>
      <c r="E10" s="65"/>
    </row>
    <row r="11" spans="1:5" x14ac:dyDescent="0.25">
      <c r="A11" s="62" t="s">
        <v>7</v>
      </c>
      <c r="B11" s="64">
        <v>260</v>
      </c>
      <c r="C11" s="64">
        <v>280</v>
      </c>
      <c r="D11" s="64">
        <v>300</v>
      </c>
      <c r="E11" s="65"/>
    </row>
    <row r="12" spans="1:5" x14ac:dyDescent="0.25">
      <c r="A12" s="62" t="s">
        <v>82</v>
      </c>
      <c r="B12" s="64">
        <v>2000</v>
      </c>
      <c r="C12" s="64">
        <v>600</v>
      </c>
      <c r="D12" s="64">
        <v>900</v>
      </c>
      <c r="E12" s="65"/>
    </row>
    <row r="13" spans="1:5" x14ac:dyDescent="0.25">
      <c r="A13" s="62" t="s">
        <v>8</v>
      </c>
      <c r="B13" s="64">
        <v>250</v>
      </c>
      <c r="C13" s="64">
        <v>250</v>
      </c>
      <c r="D13" s="64">
        <v>250</v>
      </c>
      <c r="E13" s="65"/>
    </row>
    <row r="14" spans="1:5" x14ac:dyDescent="0.25">
      <c r="A14" s="62" t="s">
        <v>11</v>
      </c>
      <c r="B14" s="64">
        <v>180</v>
      </c>
      <c r="C14" s="64">
        <v>200</v>
      </c>
      <c r="D14" s="64">
        <v>200</v>
      </c>
      <c r="E14" s="65"/>
    </row>
    <row r="15" spans="1:5" x14ac:dyDescent="0.25">
      <c r="A15" s="62" t="s">
        <v>31</v>
      </c>
      <c r="B15" s="64">
        <v>280</v>
      </c>
      <c r="C15" s="64">
        <v>280</v>
      </c>
      <c r="D15" s="64">
        <v>280</v>
      </c>
      <c r="E15" s="65"/>
    </row>
    <row r="16" spans="1:5" ht="15.6" thickBot="1" x14ac:dyDescent="0.3">
      <c r="A16" s="62" t="s">
        <v>12</v>
      </c>
      <c r="B16" s="70">
        <v>190</v>
      </c>
      <c r="C16" s="70">
        <v>120</v>
      </c>
      <c r="D16" s="70">
        <v>150</v>
      </c>
      <c r="E16" s="65"/>
    </row>
    <row r="17" spans="1:7" ht="15.6" x14ac:dyDescent="0.3">
      <c r="A17" s="57" t="s">
        <v>13</v>
      </c>
      <c r="B17" s="71">
        <v>6160</v>
      </c>
      <c r="C17" s="71">
        <f>SUM(C10:C16)</f>
        <v>4730</v>
      </c>
      <c r="D17" s="71">
        <f>SUM(D10:D16)</f>
        <v>2080</v>
      </c>
      <c r="E17" s="65"/>
    </row>
    <row r="18" spans="1:7" x14ac:dyDescent="0.25">
      <c r="B18" s="64"/>
      <c r="C18" s="64"/>
      <c r="D18" s="64"/>
      <c r="E18" s="65"/>
    </row>
    <row r="19" spans="1:7" ht="15.6" x14ac:dyDescent="0.3">
      <c r="A19" s="57" t="s">
        <v>14</v>
      </c>
      <c r="B19" s="64"/>
      <c r="C19" s="64"/>
      <c r="D19" s="64"/>
      <c r="E19" s="65"/>
    </row>
    <row r="20" spans="1:7" x14ac:dyDescent="0.25">
      <c r="A20" s="62" t="s">
        <v>15</v>
      </c>
      <c r="B20" s="64">
        <v>14000</v>
      </c>
      <c r="C20" s="64">
        <v>16000</v>
      </c>
      <c r="D20" s="64">
        <v>17000</v>
      </c>
      <c r="E20" s="65" t="s">
        <v>121</v>
      </c>
    </row>
    <row r="21" spans="1:7" x14ac:dyDescent="0.25">
      <c r="A21" s="62" t="s">
        <v>16</v>
      </c>
      <c r="B21" s="64">
        <v>300</v>
      </c>
      <c r="C21" s="64">
        <v>300</v>
      </c>
      <c r="D21" s="64">
        <v>300</v>
      </c>
      <c r="E21" s="65"/>
    </row>
    <row r="22" spans="1:7" x14ac:dyDescent="0.25">
      <c r="A22" s="62" t="s">
        <v>17</v>
      </c>
      <c r="B22" s="64">
        <v>2500</v>
      </c>
      <c r="C22" s="64">
        <v>2500</v>
      </c>
      <c r="D22" s="64">
        <v>2500</v>
      </c>
      <c r="E22" s="65"/>
    </row>
    <row r="23" spans="1:7" x14ac:dyDescent="0.25">
      <c r="A23" s="62" t="s">
        <v>18</v>
      </c>
      <c r="B23" s="64">
        <v>3600</v>
      </c>
      <c r="C23" s="64">
        <v>3600</v>
      </c>
      <c r="D23" s="64">
        <f>350*12</f>
        <v>4200</v>
      </c>
      <c r="E23" s="65"/>
    </row>
    <row r="24" spans="1:7" x14ac:dyDescent="0.25">
      <c r="A24" s="62" t="s">
        <v>19</v>
      </c>
      <c r="B24" s="64">
        <v>4800</v>
      </c>
      <c r="C24" s="64">
        <v>5600</v>
      </c>
      <c r="D24" s="64">
        <v>5600</v>
      </c>
      <c r="E24" s="65"/>
    </row>
    <row r="25" spans="1:7" ht="15.6" thickBot="1" x14ac:dyDescent="0.3">
      <c r="A25" s="62" t="s">
        <v>20</v>
      </c>
      <c r="B25" s="70">
        <v>2000</v>
      </c>
      <c r="C25" s="70">
        <v>5000</v>
      </c>
      <c r="D25" s="70">
        <v>1561</v>
      </c>
      <c r="E25" s="65"/>
    </row>
    <row r="26" spans="1:7" ht="15.6" x14ac:dyDescent="0.3">
      <c r="A26" s="57" t="s">
        <v>21</v>
      </c>
      <c r="B26" s="71">
        <v>27200</v>
      </c>
      <c r="C26" s="71">
        <f>SUM(C20:C25)</f>
        <v>33000</v>
      </c>
      <c r="D26" s="71">
        <f>SUM(D20:D25)</f>
        <v>31161</v>
      </c>
      <c r="E26" s="65"/>
    </row>
    <row r="27" spans="1:7" x14ac:dyDescent="0.25">
      <c r="B27" s="64"/>
      <c r="C27" s="64"/>
      <c r="D27" s="64"/>
      <c r="E27" s="65"/>
    </row>
    <row r="28" spans="1:7" ht="15.6" x14ac:dyDescent="0.3">
      <c r="A28" s="57" t="s">
        <v>22</v>
      </c>
      <c r="B28" s="71">
        <v>24973</v>
      </c>
      <c r="C28" s="71">
        <v>30000</v>
      </c>
      <c r="D28" s="71">
        <v>30000</v>
      </c>
      <c r="E28" s="65"/>
      <c r="G28" s="62">
        <f>SUM(B28/C28)</f>
        <v>0.83243333333333336</v>
      </c>
    </row>
    <row r="29" spans="1:7" x14ac:dyDescent="0.25">
      <c r="B29" s="64"/>
      <c r="C29" s="64"/>
      <c r="D29" s="64"/>
      <c r="E29" s="65"/>
    </row>
    <row r="30" spans="1:7" ht="15.6" x14ac:dyDescent="0.3">
      <c r="A30" s="57" t="s">
        <v>23</v>
      </c>
      <c r="B30" s="64"/>
      <c r="C30" s="64"/>
      <c r="D30" s="64"/>
      <c r="E30" s="65"/>
    </row>
    <row r="31" spans="1:7" x14ac:dyDescent="0.25">
      <c r="A31" s="62" t="s">
        <v>26</v>
      </c>
      <c r="B31" s="64">
        <v>5000</v>
      </c>
      <c r="C31" s="64">
        <f>455*12</f>
        <v>5460</v>
      </c>
      <c r="D31" s="64">
        <v>5500</v>
      </c>
      <c r="E31" s="65"/>
    </row>
    <row r="32" spans="1:7" x14ac:dyDescent="0.25">
      <c r="A32" s="62" t="s">
        <v>27</v>
      </c>
      <c r="B32" s="64">
        <v>6600</v>
      </c>
      <c r="C32" s="64">
        <v>6600</v>
      </c>
      <c r="D32" s="64">
        <f>550*12</f>
        <v>6600</v>
      </c>
      <c r="E32" s="65"/>
    </row>
    <row r="33" spans="1:8" x14ac:dyDescent="0.25">
      <c r="A33" s="62" t="s">
        <v>28</v>
      </c>
      <c r="B33" s="64">
        <v>2300</v>
      </c>
      <c r="C33" s="64">
        <v>1200</v>
      </c>
      <c r="D33" s="64">
        <v>1200</v>
      </c>
      <c r="E33" s="65"/>
    </row>
    <row r="34" spans="1:8" x14ac:dyDescent="0.25">
      <c r="A34" s="62" t="s">
        <v>88</v>
      </c>
      <c r="B34" s="64">
        <v>300</v>
      </c>
      <c r="C34" s="64">
        <v>300</v>
      </c>
      <c r="D34" s="64">
        <v>300</v>
      </c>
      <c r="E34" s="65"/>
    </row>
    <row r="35" spans="1:8" ht="15.6" thickBot="1" x14ac:dyDescent="0.3">
      <c r="A35" s="62" t="s">
        <v>29</v>
      </c>
      <c r="B35" s="70">
        <v>3500</v>
      </c>
      <c r="C35" s="70">
        <v>4500</v>
      </c>
      <c r="D35" s="70">
        <v>2400</v>
      </c>
      <c r="E35" s="65"/>
    </row>
    <row r="36" spans="1:8" ht="15.6" x14ac:dyDescent="0.3">
      <c r="A36" s="57" t="s">
        <v>30</v>
      </c>
      <c r="B36" s="71">
        <v>17700</v>
      </c>
      <c r="C36" s="71">
        <f>SUM(C31:C35)</f>
        <v>18060</v>
      </c>
      <c r="D36" s="71">
        <f>SUM(D31:D35)</f>
        <v>16000</v>
      </c>
      <c r="E36" s="65"/>
    </row>
    <row r="37" spans="1:8" x14ac:dyDescent="0.25">
      <c r="B37" s="64"/>
      <c r="C37" s="64"/>
      <c r="D37" s="64"/>
      <c r="E37" s="65"/>
    </row>
    <row r="38" spans="1:8" ht="15.6" x14ac:dyDescent="0.3">
      <c r="A38" s="57" t="s">
        <v>32</v>
      </c>
      <c r="B38" s="64"/>
      <c r="C38" s="64"/>
      <c r="D38" s="64"/>
      <c r="E38" s="65"/>
    </row>
    <row r="39" spans="1:8" x14ac:dyDescent="0.25">
      <c r="A39" s="62" t="s">
        <v>33</v>
      </c>
      <c r="B39" s="64">
        <v>2000</v>
      </c>
      <c r="C39" s="64">
        <v>2400</v>
      </c>
      <c r="D39" s="64">
        <v>2500</v>
      </c>
      <c r="E39" s="65"/>
    </row>
    <row r="40" spans="1:8" ht="15.6" thickBot="1" x14ac:dyDescent="0.3">
      <c r="A40" s="62" t="s">
        <v>34</v>
      </c>
      <c r="B40" s="70">
        <v>17000</v>
      </c>
      <c r="C40" s="70">
        <v>18000</v>
      </c>
      <c r="D40" s="70">
        <f>18500-56</f>
        <v>18444</v>
      </c>
      <c r="E40" s="65" t="s">
        <v>121</v>
      </c>
    </row>
    <row r="41" spans="1:8" ht="15.6" x14ac:dyDescent="0.3">
      <c r="A41" s="57" t="s">
        <v>35</v>
      </c>
      <c r="B41" s="71">
        <v>19000</v>
      </c>
      <c r="C41" s="71">
        <f>SUM(C39:C40)</f>
        <v>20400</v>
      </c>
      <c r="D41" s="71">
        <f>SUM(D39:D40)</f>
        <v>20944</v>
      </c>
      <c r="E41" s="65"/>
    </row>
    <row r="42" spans="1:8" x14ac:dyDescent="0.25">
      <c r="B42" s="64"/>
      <c r="C42" s="64"/>
      <c r="D42" s="64"/>
      <c r="E42" s="65"/>
    </row>
    <row r="43" spans="1:8" ht="15.6" x14ac:dyDescent="0.3">
      <c r="A43" s="57" t="s">
        <v>127</v>
      </c>
      <c r="B43" s="71">
        <v>11768.598695004146</v>
      </c>
      <c r="C43" s="71">
        <f>973.8*12</f>
        <v>11685.599999999999</v>
      </c>
      <c r="D43" s="71">
        <f>SUM('reserves 2015'!H15)</f>
        <v>8799.1555511613496</v>
      </c>
      <c r="E43" s="65"/>
    </row>
    <row r="44" spans="1:8" ht="16.2" thickBot="1" x14ac:dyDescent="0.35">
      <c r="A44" s="57" t="s">
        <v>70</v>
      </c>
      <c r="B44" s="70">
        <v>23088</v>
      </c>
      <c r="C44" s="70"/>
      <c r="D44" s="72">
        <f>SUM('reserves 2015'!G15)</f>
        <v>29330.518503871164</v>
      </c>
      <c r="E44" s="65"/>
      <c r="G44" s="71"/>
    </row>
    <row r="45" spans="1:8" ht="15.6" x14ac:dyDescent="0.3">
      <c r="A45" s="57" t="s">
        <v>83</v>
      </c>
      <c r="B45" s="68">
        <v>102158</v>
      </c>
      <c r="C45" s="68">
        <f>SUM(C41+C36+C28+C26+C17)</f>
        <v>106190</v>
      </c>
      <c r="D45" s="68">
        <f>D41+D36+D28+D26+D17</f>
        <v>100185</v>
      </c>
      <c r="E45" s="73"/>
    </row>
    <row r="47" spans="1:8" ht="33.75" customHeight="1" x14ac:dyDescent="0.3">
      <c r="A47" s="106" t="s">
        <v>56</v>
      </c>
      <c r="B47" s="106" t="s">
        <v>57</v>
      </c>
      <c r="C47" s="107" t="s">
        <v>112</v>
      </c>
    </row>
    <row r="48" spans="1:8" ht="33.75" customHeight="1" x14ac:dyDescent="0.3">
      <c r="A48" s="108" t="s">
        <v>101</v>
      </c>
      <c r="B48" s="88">
        <v>3.49E-2</v>
      </c>
      <c r="C48" s="109">
        <f>SUM(D5*0.0349)/12</f>
        <v>290.20702375000002</v>
      </c>
      <c r="E48" s="81"/>
      <c r="H48" s="81"/>
    </row>
    <row r="49" spans="1:5" ht="33.75" customHeight="1" x14ac:dyDescent="0.3">
      <c r="A49" s="110" t="s">
        <v>102</v>
      </c>
      <c r="B49" s="88">
        <v>3.8600000000000002E-2</v>
      </c>
      <c r="C49" s="109">
        <f>SUM(D5*0.0386)/12</f>
        <v>320.97395750000004</v>
      </c>
      <c r="E49" s="81"/>
    </row>
    <row r="50" spans="1:5" ht="33.75" customHeight="1" x14ac:dyDescent="0.3">
      <c r="A50" s="108" t="s">
        <v>103</v>
      </c>
      <c r="B50" s="88">
        <v>4.1399999999999999E-2</v>
      </c>
      <c r="C50" s="109">
        <f>SUM(D5*0.0414)/12</f>
        <v>344.25704250000007</v>
      </c>
      <c r="E50" s="81"/>
    </row>
    <row r="51" spans="1:5" x14ac:dyDescent="0.25">
      <c r="E51" s="81"/>
    </row>
  </sheetData>
  <mergeCells count="1">
    <mergeCell ref="A1:D1"/>
  </mergeCells>
  <phoneticPr fontId="1" type="noConversion"/>
  <pageMargins left="0.25" right="0.28999999999999998" top="1" bottom="1" header="0.5" footer="0.5"/>
  <pageSetup scale="60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2:O27"/>
  <sheetViews>
    <sheetView workbookViewId="0">
      <selection activeCell="H15" sqref="H15"/>
    </sheetView>
  </sheetViews>
  <sheetFormatPr defaultColWidth="8.77734375" defaultRowHeight="13.2" x14ac:dyDescent="0.25"/>
  <cols>
    <col min="1" max="1" width="36.44140625" customWidth="1"/>
    <col min="2" max="2" width="28.44140625" customWidth="1"/>
    <col min="3" max="3" width="29.77734375" customWidth="1"/>
    <col min="4" max="4" width="19.21875" customWidth="1"/>
    <col min="5" max="5" width="23.44140625" customWidth="1"/>
    <col min="6" max="6" width="18.77734375" customWidth="1"/>
    <col min="7" max="7" width="19.77734375" bestFit="1" customWidth="1"/>
    <col min="8" max="8" width="19.77734375" customWidth="1"/>
    <col min="9" max="10" width="20.21875" bestFit="1" customWidth="1"/>
    <col min="11" max="11" width="20.21875" style="3" bestFit="1" customWidth="1"/>
    <col min="15" max="15" width="10.44140625" bestFit="1" customWidth="1"/>
  </cols>
  <sheetData>
    <row r="2" spans="1:11" ht="15.6" x14ac:dyDescent="0.3">
      <c r="A2" s="206">
        <v>2016</v>
      </c>
      <c r="B2" s="206"/>
      <c r="C2" s="206"/>
      <c r="D2" s="206"/>
      <c r="E2" s="206"/>
      <c r="F2" s="206"/>
      <c r="G2" s="206"/>
      <c r="H2" s="214"/>
      <c r="I2" s="75"/>
      <c r="J2" s="57"/>
      <c r="K2" s="57"/>
    </row>
    <row r="3" spans="1:11" x14ac:dyDescent="0.25">
      <c r="A3" s="11" t="s">
        <v>44</v>
      </c>
      <c r="B3" s="11" t="s">
        <v>45</v>
      </c>
      <c r="C3" s="11" t="s">
        <v>45</v>
      </c>
      <c r="D3" s="12" t="s">
        <v>46</v>
      </c>
      <c r="E3" s="11" t="s">
        <v>47</v>
      </c>
      <c r="F3" s="11" t="s">
        <v>48</v>
      </c>
      <c r="G3" s="93">
        <v>1</v>
      </c>
      <c r="H3" s="11">
        <v>0.25</v>
      </c>
      <c r="K3"/>
    </row>
    <row r="4" spans="1:11" x14ac:dyDescent="0.25">
      <c r="A4" s="10"/>
      <c r="B4" s="11" t="s">
        <v>49</v>
      </c>
      <c r="C4" s="11" t="s">
        <v>50</v>
      </c>
      <c r="D4" s="12" t="s">
        <v>51</v>
      </c>
      <c r="E4" s="11" t="s">
        <v>133</v>
      </c>
      <c r="F4" s="11" t="s">
        <v>52</v>
      </c>
      <c r="G4" s="11" t="s">
        <v>134</v>
      </c>
      <c r="H4" s="11" t="s">
        <v>134</v>
      </c>
      <c r="K4"/>
    </row>
    <row r="5" spans="1:11" x14ac:dyDescent="0.25">
      <c r="A5" s="10"/>
      <c r="B5" s="11"/>
      <c r="C5" s="11"/>
      <c r="D5" s="12"/>
      <c r="E5" s="11"/>
      <c r="F5" s="11"/>
      <c r="G5" s="11"/>
      <c r="H5" s="11"/>
      <c r="K5"/>
    </row>
    <row r="6" spans="1:11" x14ac:dyDescent="0.25">
      <c r="A6" s="10" t="s">
        <v>59</v>
      </c>
      <c r="B6" s="11">
        <v>9</v>
      </c>
      <c r="C6" s="15">
        <v>27069</v>
      </c>
      <c r="D6" s="12">
        <v>0.22</v>
      </c>
      <c r="E6" s="32">
        <f>SUM(E15*D6)</f>
        <v>26315.96</v>
      </c>
      <c r="F6" s="14">
        <v>2</v>
      </c>
      <c r="G6" s="15">
        <f>(C6-E6)/F6</f>
        <v>376.52000000000044</v>
      </c>
      <c r="H6" s="138">
        <f t="shared" ref="H6:H14" si="0">SUM(G6*0.25)</f>
        <v>94.130000000000109</v>
      </c>
      <c r="K6"/>
    </row>
    <row r="7" spans="1:11" x14ac:dyDescent="0.25">
      <c r="A7" s="10" t="s">
        <v>60</v>
      </c>
      <c r="B7" s="11">
        <v>12</v>
      </c>
      <c r="C7" s="15">
        <v>10000</v>
      </c>
      <c r="D7" s="12">
        <v>0.03</v>
      </c>
      <c r="E7" s="32">
        <f>SUM(E15*D7)</f>
        <v>3588.54</v>
      </c>
      <c r="F7" s="14">
        <v>2</v>
      </c>
      <c r="G7" s="15">
        <f t="shared" ref="G7:G13" si="1">(C7-E7)/F7</f>
        <v>3205.73</v>
      </c>
      <c r="H7" s="138">
        <f t="shared" si="0"/>
        <v>801.4325</v>
      </c>
      <c r="K7"/>
    </row>
    <row r="8" spans="1:11" x14ac:dyDescent="0.25">
      <c r="A8" s="10" t="s">
        <v>53</v>
      </c>
      <c r="B8" s="11">
        <v>8</v>
      </c>
      <c r="C8" s="15">
        <v>21156</v>
      </c>
      <c r="D8" s="12">
        <v>0.17</v>
      </c>
      <c r="E8" s="32">
        <f>SUM(E15*D8)</f>
        <v>20335.060000000001</v>
      </c>
      <c r="F8" s="14">
        <v>5</v>
      </c>
      <c r="G8" s="15">
        <f t="shared" si="1"/>
        <v>164.18799999999973</v>
      </c>
      <c r="H8" s="138">
        <f t="shared" si="0"/>
        <v>41.046999999999933</v>
      </c>
      <c r="K8"/>
    </row>
    <row r="9" spans="1:11" x14ac:dyDescent="0.25">
      <c r="A9" s="10" t="s">
        <v>61</v>
      </c>
      <c r="B9" s="11">
        <v>1</v>
      </c>
      <c r="C9" s="15">
        <v>1855</v>
      </c>
      <c r="D9" s="12">
        <v>0</v>
      </c>
      <c r="E9" s="32">
        <f t="shared" ref="E9:E14" si="2">SUM(E18*D9)</f>
        <v>0</v>
      </c>
      <c r="F9" s="14">
        <v>1</v>
      </c>
      <c r="G9" s="15">
        <f t="shared" si="1"/>
        <v>1855</v>
      </c>
      <c r="H9" s="138">
        <f t="shared" si="0"/>
        <v>463.75</v>
      </c>
      <c r="K9"/>
    </row>
    <row r="10" spans="1:11" x14ac:dyDescent="0.25">
      <c r="A10" s="10" t="s">
        <v>62</v>
      </c>
      <c r="B10" s="11">
        <v>20</v>
      </c>
      <c r="C10" s="15">
        <v>14000</v>
      </c>
      <c r="D10" s="12">
        <v>7.5999999999999998E-2</v>
      </c>
      <c r="E10" s="32">
        <f>E15*D10</f>
        <v>9090.9679999999989</v>
      </c>
      <c r="F10" s="14">
        <v>5</v>
      </c>
      <c r="G10" s="15">
        <f t="shared" si="1"/>
        <v>981.80640000000017</v>
      </c>
      <c r="H10" s="138">
        <f t="shared" si="0"/>
        <v>245.45160000000004</v>
      </c>
      <c r="K10"/>
    </row>
    <row r="11" spans="1:11" x14ac:dyDescent="0.25">
      <c r="A11" s="10" t="s">
        <v>63</v>
      </c>
      <c r="B11" s="11">
        <v>1</v>
      </c>
      <c r="C11" s="15">
        <v>3060</v>
      </c>
      <c r="D11" s="12">
        <v>0</v>
      </c>
      <c r="E11" s="32">
        <f>SUM(E15*D11)</f>
        <v>0</v>
      </c>
      <c r="F11" s="14">
        <v>1</v>
      </c>
      <c r="G11" s="15">
        <f t="shared" si="1"/>
        <v>3060</v>
      </c>
      <c r="H11" s="138">
        <f t="shared" si="0"/>
        <v>765</v>
      </c>
      <c r="K11"/>
    </row>
    <row r="12" spans="1:11" x14ac:dyDescent="0.25">
      <c r="A12" s="10" t="s">
        <v>64</v>
      </c>
      <c r="B12" s="11">
        <v>5</v>
      </c>
      <c r="C12" s="15">
        <v>20000</v>
      </c>
      <c r="D12" s="12">
        <v>0.13</v>
      </c>
      <c r="E12" s="32">
        <f>SUM(E15*D12)</f>
        <v>15550.34</v>
      </c>
      <c r="F12" s="14">
        <v>3</v>
      </c>
      <c r="G12" s="15">
        <f t="shared" si="1"/>
        <v>1483.22</v>
      </c>
      <c r="H12" s="138">
        <f t="shared" si="0"/>
        <v>370.80500000000001</v>
      </c>
      <c r="K12"/>
    </row>
    <row r="13" spans="1:11" x14ac:dyDescent="0.25">
      <c r="A13" s="10" t="s">
        <v>54</v>
      </c>
      <c r="B13" s="11">
        <v>20</v>
      </c>
      <c r="C13" s="15">
        <v>300000</v>
      </c>
      <c r="D13" s="12">
        <v>0.374</v>
      </c>
      <c r="E13" s="32">
        <f>SUM(E15*D13)</f>
        <v>44737.131999999998</v>
      </c>
      <c r="F13" s="14">
        <v>11</v>
      </c>
      <c r="G13" s="15">
        <f t="shared" si="1"/>
        <v>23205.715272727273</v>
      </c>
      <c r="H13" s="138">
        <f t="shared" si="0"/>
        <v>5801.4288181818183</v>
      </c>
      <c r="K13"/>
    </row>
    <row r="14" spans="1:11" x14ac:dyDescent="0.25">
      <c r="A14" s="10" t="s">
        <v>65</v>
      </c>
      <c r="B14" s="11">
        <v>5</v>
      </c>
      <c r="C14" s="15">
        <v>1411</v>
      </c>
      <c r="D14" s="12">
        <v>0</v>
      </c>
      <c r="E14" s="32">
        <f t="shared" si="2"/>
        <v>0</v>
      </c>
      <c r="F14" s="14">
        <v>2</v>
      </c>
      <c r="G14" s="15">
        <f>(C14-E14)/F14</f>
        <v>705.5</v>
      </c>
      <c r="H14" s="138">
        <f t="shared" si="0"/>
        <v>176.375</v>
      </c>
      <c r="K14"/>
    </row>
    <row r="15" spans="1:11" ht="13.8" thickBot="1" x14ac:dyDescent="0.3">
      <c r="A15" s="17" t="s">
        <v>55</v>
      </c>
      <c r="B15" s="18"/>
      <c r="C15" s="19">
        <f>SUM(C6:C14)</f>
        <v>398551</v>
      </c>
      <c r="D15" s="20">
        <f>SUM(D6:D14)</f>
        <v>1</v>
      </c>
      <c r="E15" s="19">
        <v>119618</v>
      </c>
      <c r="F15" s="19">
        <f>SUM(E6:E14)</f>
        <v>119618</v>
      </c>
      <c r="G15" s="19">
        <f>SUM(G6:G14)</f>
        <v>35037.679672727274</v>
      </c>
      <c r="H15" s="140">
        <f>SUM(H6:H14)</f>
        <v>8759.4199181818185</v>
      </c>
      <c r="I15" s="31">
        <f>SUM(H15/12)</f>
        <v>729.95165984848484</v>
      </c>
      <c r="K15"/>
    </row>
    <row r="17" spans="1:15" x14ac:dyDescent="0.25">
      <c r="J17" s="31"/>
    </row>
    <row r="18" spans="1:15" ht="15.6" x14ac:dyDescent="0.3">
      <c r="A18" s="206" t="s">
        <v>1</v>
      </c>
      <c r="B18" s="206"/>
      <c r="C18" s="206"/>
      <c r="D18" s="206"/>
      <c r="E18" s="206"/>
      <c r="F18" s="206"/>
      <c r="G18" s="206"/>
      <c r="H18" s="139"/>
      <c r="I18" s="31"/>
      <c r="J18" s="31"/>
      <c r="K18" s="4"/>
    </row>
    <row r="19" spans="1:15" ht="100.5" customHeight="1" x14ac:dyDescent="0.25">
      <c r="A19" s="136" t="s">
        <v>56</v>
      </c>
      <c r="B19" s="136" t="s">
        <v>57</v>
      </c>
      <c r="C19" s="131" t="s">
        <v>112</v>
      </c>
      <c r="D19" s="131" t="s">
        <v>122</v>
      </c>
      <c r="E19" s="137" t="s">
        <v>68</v>
      </c>
      <c r="F19" s="137" t="s">
        <v>68</v>
      </c>
      <c r="G19" s="137" t="s">
        <v>135</v>
      </c>
      <c r="H19" s="4"/>
      <c r="K19"/>
    </row>
    <row r="20" spans="1:15" ht="18.75" customHeight="1" x14ac:dyDescent="0.25">
      <c r="A20" s="97" t="s">
        <v>101</v>
      </c>
      <c r="B20" s="98">
        <v>3.49E-2</v>
      </c>
      <c r="C20" s="99">
        <f>SUM('budget 2016'!C48)</f>
        <v>290.20702375000002</v>
      </c>
      <c r="D20" s="100" t="e">
        <f>SUM(#REF!*B20/12)</f>
        <v>#REF!</v>
      </c>
      <c r="E20" s="100">
        <f>SUM(G15*B20/12)</f>
        <v>101.9012517148485</v>
      </c>
      <c r="F20" s="134">
        <f>SUM(C20+E20)</f>
        <v>392.10827546484853</v>
      </c>
      <c r="G20" s="138">
        <f>SUM(H15*B20/12)+C20</f>
        <v>315.68233667871215</v>
      </c>
      <c r="H20" s="3"/>
      <c r="K20"/>
    </row>
    <row r="21" spans="1:15" ht="45" x14ac:dyDescent="0.25">
      <c r="A21" s="97" t="s">
        <v>102</v>
      </c>
      <c r="B21" s="98">
        <v>3.8600000000000002E-2</v>
      </c>
      <c r="C21" s="99">
        <f>SUM('budget 2016'!C49)</f>
        <v>320.97395750000004</v>
      </c>
      <c r="D21" s="100" t="e">
        <f>SUM(#REF!*B21/12)</f>
        <v>#REF!</v>
      </c>
      <c r="E21" s="100">
        <f>SUM(G15*B21/12)</f>
        <v>112.70453628060608</v>
      </c>
      <c r="F21" s="134">
        <f>SUM(C21+E21)</f>
        <v>433.67849378060612</v>
      </c>
      <c r="G21" s="138">
        <f>SUM(H15*B21/12)+C21</f>
        <v>349.15009157015157</v>
      </c>
      <c r="H21" s="3"/>
      <c r="I21" s="83"/>
      <c r="K21"/>
    </row>
    <row r="22" spans="1:15" ht="28.5" customHeight="1" x14ac:dyDescent="0.25">
      <c r="A22" s="97" t="s">
        <v>103</v>
      </c>
      <c r="B22" s="98">
        <v>4.1399999999999999E-2</v>
      </c>
      <c r="C22" s="99">
        <f>SUM('budget 2016'!C50)</f>
        <v>344.25704250000007</v>
      </c>
      <c r="D22" s="100" t="e">
        <f>SUM(#REF!*B22/12)</f>
        <v>#REF!</v>
      </c>
      <c r="E22" s="100">
        <f>SUM(G15*B22/12)</f>
        <v>120.8799948709091</v>
      </c>
      <c r="F22" s="134">
        <f>SUM(C22+E22)</f>
        <v>465.13703737090918</v>
      </c>
      <c r="G22" s="138">
        <f>SUM(H15*B22/12)+C22</f>
        <v>374.47704121772733</v>
      </c>
      <c r="H22" s="3"/>
      <c r="K22"/>
    </row>
    <row r="23" spans="1:15" x14ac:dyDescent="0.25">
      <c r="G23" s="31"/>
      <c r="H23" s="31"/>
    </row>
    <row r="24" spans="1:15" ht="13.8" thickBot="1" x14ac:dyDescent="0.3"/>
    <row r="25" spans="1:15" ht="12.75" customHeight="1" x14ac:dyDescent="0.25">
      <c r="A25" s="176" t="s">
        <v>42</v>
      </c>
      <c r="B25" s="177"/>
      <c r="C25" s="177"/>
      <c r="D25" s="177"/>
      <c r="E25" s="177"/>
      <c r="F25" s="177"/>
      <c r="G25" s="177"/>
      <c r="H25" s="177"/>
      <c r="I25" s="178"/>
      <c r="J25" s="135"/>
    </row>
    <row r="26" spans="1:15" ht="13.8" thickBot="1" x14ac:dyDescent="0.3">
      <c r="A26" s="179"/>
      <c r="B26" s="180"/>
      <c r="C26" s="180"/>
      <c r="D26" s="180"/>
      <c r="E26" s="180"/>
      <c r="F26" s="180"/>
      <c r="G26" s="180"/>
      <c r="H26" s="180"/>
      <c r="I26" s="181"/>
      <c r="J26" s="135"/>
      <c r="O26" s="31"/>
    </row>
    <row r="27" spans="1:15" x14ac:dyDescent="0.25">
      <c r="O27" s="31"/>
    </row>
  </sheetData>
  <mergeCells count="3">
    <mergeCell ref="A2:H2"/>
    <mergeCell ref="A18:G18"/>
    <mergeCell ref="A25:I26"/>
  </mergeCells>
  <pageMargins left="0.75" right="0.2" top="1" bottom="1" header="0.5" footer="0.5"/>
  <pageSetup scale="59" orientation="landscape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C6"/>
  <sheetViews>
    <sheetView workbookViewId="0">
      <selection activeCell="C6" sqref="A3:C6"/>
    </sheetView>
  </sheetViews>
  <sheetFormatPr defaultColWidth="8.77734375" defaultRowHeight="13.2" x14ac:dyDescent="0.25"/>
  <cols>
    <col min="1" max="1" width="28.77734375" customWidth="1"/>
    <col min="2" max="2" width="19.44140625" customWidth="1"/>
    <col min="3" max="3" width="21.77734375" customWidth="1"/>
  </cols>
  <sheetData>
    <row r="1" spans="1:3" x14ac:dyDescent="0.25">
      <c r="A1" s="215" t="s">
        <v>136</v>
      </c>
      <c r="B1" s="216"/>
      <c r="C1" s="216"/>
    </row>
    <row r="2" spans="1:3" x14ac:dyDescent="0.25">
      <c r="A2" s="217"/>
      <c r="B2" s="217"/>
      <c r="C2" s="217"/>
    </row>
    <row r="3" spans="1:3" ht="62.4" x14ac:dyDescent="0.25">
      <c r="A3" s="131" t="s">
        <v>56</v>
      </c>
      <c r="B3" s="131" t="s">
        <v>57</v>
      </c>
      <c r="C3" s="137" t="s">
        <v>135</v>
      </c>
    </row>
    <row r="4" spans="1:3" ht="15" x14ac:dyDescent="0.25">
      <c r="A4" s="97" t="s">
        <v>101</v>
      </c>
      <c r="B4" s="141">
        <v>3.49E-2</v>
      </c>
      <c r="C4" s="142">
        <v>315.68233667871215</v>
      </c>
    </row>
    <row r="5" spans="1:3" ht="60" x14ac:dyDescent="0.25">
      <c r="A5" s="97" t="s">
        <v>102</v>
      </c>
      <c r="B5" s="141">
        <v>3.8600000000000002E-2</v>
      </c>
      <c r="C5" s="142">
        <v>349.15009157015157</v>
      </c>
    </row>
    <row r="6" spans="1:3" ht="15" x14ac:dyDescent="0.25">
      <c r="A6" s="97" t="s">
        <v>103</v>
      </c>
      <c r="B6" s="141">
        <v>4.1399999999999999E-2</v>
      </c>
      <c r="C6" s="142">
        <v>374.47704121772733</v>
      </c>
    </row>
  </sheetData>
  <mergeCells count="1">
    <mergeCell ref="A1:C2"/>
  </mergeCells>
  <pageMargins left="0.7" right="0.7" top="0.75" bottom="0.75" header="0.3" footer="0.3"/>
  <pageSetup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H51"/>
  <sheetViews>
    <sheetView workbookViewId="0">
      <selection activeCell="D45" sqref="D45"/>
    </sheetView>
  </sheetViews>
  <sheetFormatPr defaultColWidth="8.77734375" defaultRowHeight="15" x14ac:dyDescent="0.25"/>
  <cols>
    <col min="1" max="1" width="56.21875" style="62" bestFit="1" customWidth="1"/>
    <col min="2" max="2" width="25.44140625" style="77" bestFit="1" customWidth="1"/>
    <col min="3" max="3" width="43.5546875" style="77" bestFit="1" customWidth="1"/>
    <col min="4" max="4" width="25.44140625" style="77" bestFit="1" customWidth="1"/>
    <col min="5" max="5" width="15.44140625" style="62" bestFit="1" customWidth="1"/>
    <col min="6" max="6" width="8.77734375" style="62"/>
    <col min="7" max="7" width="9.44140625" style="62" bestFit="1" customWidth="1"/>
    <col min="8" max="16384" width="8.77734375" style="62"/>
  </cols>
  <sheetData>
    <row r="1" spans="1:5" ht="42.75" customHeight="1" x14ac:dyDescent="0.3">
      <c r="A1" s="192" t="s">
        <v>137</v>
      </c>
      <c r="B1" s="193"/>
      <c r="C1" s="193"/>
      <c r="D1" s="193"/>
    </row>
    <row r="3" spans="1:5" ht="15.6" x14ac:dyDescent="0.3">
      <c r="B3" s="61" t="s">
        <v>107</v>
      </c>
      <c r="C3" s="61" t="s">
        <v>37</v>
      </c>
      <c r="D3" s="61" t="s">
        <v>72</v>
      </c>
      <c r="E3" s="60"/>
    </row>
    <row r="4" spans="1:5" ht="15.6" x14ac:dyDescent="0.3">
      <c r="A4" s="57" t="s">
        <v>0</v>
      </c>
      <c r="B4" s="61">
        <v>2016</v>
      </c>
      <c r="C4" s="61">
        <v>2016</v>
      </c>
      <c r="D4" s="61">
        <v>2017</v>
      </c>
      <c r="E4" s="63"/>
    </row>
    <row r="5" spans="1:5" x14ac:dyDescent="0.25">
      <c r="A5" s="62" t="s">
        <v>1</v>
      </c>
      <c r="B5" s="64">
        <v>99784.650000000009</v>
      </c>
      <c r="C5" s="64">
        <v>110000</v>
      </c>
      <c r="D5" s="64">
        <f>95033*1.03</f>
        <v>97883.99</v>
      </c>
      <c r="E5" s="65"/>
    </row>
    <row r="6" spans="1:5" ht="15.6" thickBot="1" x14ac:dyDescent="0.3">
      <c r="A6" s="62" t="s">
        <v>2</v>
      </c>
      <c r="B6" s="66">
        <v>400</v>
      </c>
      <c r="C6" s="66">
        <v>700</v>
      </c>
      <c r="D6" s="66">
        <v>400</v>
      </c>
      <c r="E6" s="65"/>
    </row>
    <row r="7" spans="1:5" ht="16.2" thickTop="1" x14ac:dyDescent="0.3">
      <c r="A7" s="67" t="s">
        <v>108</v>
      </c>
      <c r="B7" s="68">
        <v>100184.65000000001</v>
      </c>
      <c r="C7" s="68">
        <f>SUM(C5:C6)</f>
        <v>110700</v>
      </c>
      <c r="D7" s="69">
        <f>SUM(D5:D6)</f>
        <v>98283.99</v>
      </c>
      <c r="E7" s="65"/>
    </row>
    <row r="8" spans="1:5" ht="15.6" x14ac:dyDescent="0.3">
      <c r="A8" s="57" t="s">
        <v>4</v>
      </c>
      <c r="B8" s="64"/>
      <c r="C8" s="64"/>
      <c r="D8" s="64"/>
      <c r="E8" s="65"/>
    </row>
    <row r="9" spans="1:5" ht="15.6" x14ac:dyDescent="0.3">
      <c r="A9" s="57" t="s">
        <v>5</v>
      </c>
      <c r="B9" s="64"/>
      <c r="C9" s="64"/>
      <c r="D9" s="64"/>
      <c r="E9" s="65"/>
    </row>
    <row r="10" spans="1:5" x14ac:dyDescent="0.25">
      <c r="A10" s="62" t="s">
        <v>38</v>
      </c>
      <c r="B10" s="64">
        <v>0</v>
      </c>
      <c r="C10" s="64">
        <v>3000</v>
      </c>
      <c r="D10" s="64">
        <v>0</v>
      </c>
      <c r="E10" s="65"/>
    </row>
    <row r="11" spans="1:5" x14ac:dyDescent="0.25">
      <c r="A11" s="62" t="s">
        <v>7</v>
      </c>
      <c r="B11" s="64">
        <v>300</v>
      </c>
      <c r="C11" s="64">
        <v>200</v>
      </c>
      <c r="D11" s="64">
        <v>250</v>
      </c>
      <c r="E11" s="65"/>
    </row>
    <row r="12" spans="1:5" x14ac:dyDescent="0.25">
      <c r="A12" s="62" t="s">
        <v>82</v>
      </c>
      <c r="B12" s="64">
        <v>900</v>
      </c>
      <c r="C12" s="64">
        <v>600</v>
      </c>
      <c r="D12" s="64">
        <v>600</v>
      </c>
      <c r="E12" s="65"/>
    </row>
    <row r="13" spans="1:5" x14ac:dyDescent="0.25">
      <c r="A13" s="62" t="s">
        <v>8</v>
      </c>
      <c r="B13" s="64">
        <v>250</v>
      </c>
      <c r="C13" s="64">
        <v>200</v>
      </c>
      <c r="D13" s="64">
        <v>200</v>
      </c>
      <c r="E13" s="65"/>
    </row>
    <row r="14" spans="1:5" x14ac:dyDescent="0.25">
      <c r="A14" s="62" t="s">
        <v>11</v>
      </c>
      <c r="B14" s="64">
        <v>200</v>
      </c>
      <c r="C14" s="64">
        <v>120</v>
      </c>
      <c r="D14" s="64">
        <v>150</v>
      </c>
      <c r="E14" s="65"/>
    </row>
    <row r="15" spans="1:5" x14ac:dyDescent="0.25">
      <c r="A15" s="62" t="s">
        <v>31</v>
      </c>
      <c r="B15" s="64">
        <v>280</v>
      </c>
      <c r="C15" s="64">
        <v>280</v>
      </c>
      <c r="D15" s="64">
        <v>280</v>
      </c>
      <c r="E15" s="65"/>
    </row>
    <row r="16" spans="1:5" ht="15.6" thickBot="1" x14ac:dyDescent="0.3">
      <c r="A16" s="62" t="s">
        <v>12</v>
      </c>
      <c r="B16" s="70">
        <v>150</v>
      </c>
      <c r="C16" s="70">
        <v>140</v>
      </c>
      <c r="D16" s="70">
        <v>150</v>
      </c>
      <c r="E16" s="65"/>
    </row>
    <row r="17" spans="1:7" ht="15.6" x14ac:dyDescent="0.3">
      <c r="A17" s="57" t="s">
        <v>13</v>
      </c>
      <c r="B17" s="71">
        <v>2080</v>
      </c>
      <c r="C17" s="71">
        <f>SUM(C10:C16)</f>
        <v>4540</v>
      </c>
      <c r="D17" s="71">
        <f>SUM(D10:D16)</f>
        <v>1630</v>
      </c>
      <c r="E17" s="65"/>
    </row>
    <row r="18" spans="1:7" x14ac:dyDescent="0.25">
      <c r="B18" s="64"/>
      <c r="C18" s="64"/>
      <c r="D18" s="64"/>
      <c r="E18" s="65"/>
    </row>
    <row r="19" spans="1:7" ht="15.6" x14ac:dyDescent="0.3">
      <c r="A19" s="57" t="s">
        <v>14</v>
      </c>
      <c r="B19" s="64"/>
      <c r="C19" s="64"/>
      <c r="D19" s="64"/>
      <c r="E19" s="65"/>
    </row>
    <row r="20" spans="1:7" x14ac:dyDescent="0.25">
      <c r="A20" s="62" t="s">
        <v>15</v>
      </c>
      <c r="B20" s="64">
        <v>17000</v>
      </c>
      <c r="C20" s="64">
        <f>1300*12</f>
        <v>15600</v>
      </c>
      <c r="D20" s="64">
        <v>16500</v>
      </c>
      <c r="E20" s="65"/>
    </row>
    <row r="21" spans="1:7" x14ac:dyDescent="0.25">
      <c r="A21" s="62" t="s">
        <v>16</v>
      </c>
      <c r="B21" s="64">
        <v>300</v>
      </c>
      <c r="C21" s="64">
        <v>300</v>
      </c>
      <c r="D21" s="64">
        <v>300</v>
      </c>
      <c r="E21" s="65"/>
    </row>
    <row r="22" spans="1:7" x14ac:dyDescent="0.25">
      <c r="A22" s="62" t="s">
        <v>17</v>
      </c>
      <c r="B22" s="64">
        <v>2500</v>
      </c>
      <c r="C22" s="64">
        <v>2500</v>
      </c>
      <c r="D22" s="64">
        <v>2500</v>
      </c>
      <c r="E22" s="65"/>
    </row>
    <row r="23" spans="1:7" x14ac:dyDescent="0.25">
      <c r="A23" s="62" t="s">
        <v>18</v>
      </c>
      <c r="B23" s="64">
        <v>4200</v>
      </c>
      <c r="C23" s="64">
        <v>4000</v>
      </c>
      <c r="D23" s="64">
        <v>4000</v>
      </c>
      <c r="E23" s="65"/>
    </row>
    <row r="24" spans="1:7" x14ac:dyDescent="0.25">
      <c r="A24" s="62" t="s">
        <v>19</v>
      </c>
      <c r="B24" s="64">
        <v>5600</v>
      </c>
      <c r="C24" s="64">
        <v>5600</v>
      </c>
      <c r="D24" s="64">
        <v>5600</v>
      </c>
      <c r="E24" s="65"/>
    </row>
    <row r="25" spans="1:7" ht="15.6" thickBot="1" x14ac:dyDescent="0.3">
      <c r="A25" s="62" t="s">
        <v>20</v>
      </c>
      <c r="B25" s="70">
        <v>1561</v>
      </c>
      <c r="C25" s="70">
        <v>1800</v>
      </c>
      <c r="D25" s="70">
        <v>1800</v>
      </c>
      <c r="E25" s="65"/>
    </row>
    <row r="26" spans="1:7" ht="15.6" x14ac:dyDescent="0.3">
      <c r="A26" s="57" t="s">
        <v>21</v>
      </c>
      <c r="B26" s="71">
        <v>31161</v>
      </c>
      <c r="C26" s="71">
        <f>SUM(C20:C25)</f>
        <v>29800</v>
      </c>
      <c r="D26" s="71">
        <f>SUM(D20:D25)</f>
        <v>30700</v>
      </c>
      <c r="E26" s="65"/>
    </row>
    <row r="27" spans="1:7" x14ac:dyDescent="0.25">
      <c r="B27" s="64"/>
      <c r="C27" s="64"/>
      <c r="D27" s="64"/>
      <c r="E27" s="65"/>
    </row>
    <row r="28" spans="1:7" ht="15.6" x14ac:dyDescent="0.3">
      <c r="A28" s="57" t="s">
        <v>22</v>
      </c>
      <c r="B28" s="71">
        <v>30000</v>
      </c>
      <c r="C28" s="71">
        <v>30000</v>
      </c>
      <c r="D28" s="71">
        <v>30000</v>
      </c>
      <c r="E28" s="65"/>
      <c r="G28" s="62">
        <f>SUM(B28/C28)</f>
        <v>1</v>
      </c>
    </row>
    <row r="29" spans="1:7" x14ac:dyDescent="0.25">
      <c r="B29" s="64"/>
      <c r="C29" s="64"/>
      <c r="D29" s="64"/>
      <c r="E29" s="65"/>
    </row>
    <row r="30" spans="1:7" ht="15.6" x14ac:dyDescent="0.3">
      <c r="A30" s="57" t="s">
        <v>23</v>
      </c>
      <c r="B30" s="64"/>
      <c r="C30" s="64"/>
      <c r="D30" s="64"/>
      <c r="E30" s="65"/>
    </row>
    <row r="31" spans="1:7" x14ac:dyDescent="0.25">
      <c r="A31" s="62" t="s">
        <v>26</v>
      </c>
      <c r="B31" s="64">
        <v>5500</v>
      </c>
      <c r="C31" s="64">
        <v>4800</v>
      </c>
      <c r="D31" s="64">
        <v>5000</v>
      </c>
      <c r="E31" s="65"/>
    </row>
    <row r="32" spans="1:7" x14ac:dyDescent="0.25">
      <c r="A32" s="62" t="s">
        <v>27</v>
      </c>
      <c r="B32" s="64">
        <v>6600</v>
      </c>
      <c r="C32" s="64">
        <v>7000</v>
      </c>
      <c r="D32" s="64">
        <v>7000</v>
      </c>
      <c r="E32" s="65"/>
    </row>
    <row r="33" spans="1:8" x14ac:dyDescent="0.25">
      <c r="A33" s="62" t="s">
        <v>28</v>
      </c>
      <c r="B33" s="64">
        <v>1200</v>
      </c>
      <c r="C33" s="64">
        <v>1200</v>
      </c>
      <c r="D33" s="64">
        <v>1200</v>
      </c>
      <c r="E33" s="65"/>
    </row>
    <row r="34" spans="1:8" x14ac:dyDescent="0.25">
      <c r="A34" s="62" t="s">
        <v>88</v>
      </c>
      <c r="B34" s="64">
        <v>300</v>
      </c>
      <c r="C34" s="64">
        <v>300</v>
      </c>
      <c r="D34" s="64">
        <v>300</v>
      </c>
      <c r="E34" s="65"/>
    </row>
    <row r="35" spans="1:8" ht="15.6" thickBot="1" x14ac:dyDescent="0.3">
      <c r="A35" s="62" t="s">
        <v>29</v>
      </c>
      <c r="B35" s="70">
        <v>2400</v>
      </c>
      <c r="C35" s="70">
        <v>4500</v>
      </c>
      <c r="D35" s="70">
        <v>4000</v>
      </c>
      <c r="E35" s="65"/>
    </row>
    <row r="36" spans="1:8" ht="15.6" x14ac:dyDescent="0.3">
      <c r="A36" s="57" t="s">
        <v>30</v>
      </c>
      <c r="B36" s="71">
        <v>16000</v>
      </c>
      <c r="C36" s="71">
        <f>SUM(C31:C35)</f>
        <v>17800</v>
      </c>
      <c r="D36" s="71">
        <f>SUM(D31:D35)</f>
        <v>17500</v>
      </c>
      <c r="E36" s="65"/>
    </row>
    <row r="37" spans="1:8" x14ac:dyDescent="0.25">
      <c r="B37" s="64"/>
      <c r="C37" s="64"/>
      <c r="D37" s="64"/>
      <c r="E37" s="65"/>
    </row>
    <row r="38" spans="1:8" ht="15.6" x14ac:dyDescent="0.3">
      <c r="A38" s="57" t="s">
        <v>32</v>
      </c>
      <c r="B38" s="64"/>
      <c r="C38" s="64"/>
      <c r="D38" s="64"/>
      <c r="E38" s="65"/>
    </row>
    <row r="39" spans="1:8" x14ac:dyDescent="0.25">
      <c r="A39" s="62" t="s">
        <v>33</v>
      </c>
      <c r="B39" s="64">
        <v>2500</v>
      </c>
      <c r="C39" s="64">
        <v>2100</v>
      </c>
      <c r="D39" s="64">
        <v>2500</v>
      </c>
      <c r="E39" s="65"/>
    </row>
    <row r="40" spans="1:8" ht="15.6" thickBot="1" x14ac:dyDescent="0.3">
      <c r="A40" s="62" t="s">
        <v>34</v>
      </c>
      <c r="B40" s="70">
        <v>18444</v>
      </c>
      <c r="C40" s="70">
        <v>13000</v>
      </c>
      <c r="D40" s="70">
        <v>15954</v>
      </c>
      <c r="E40" s="65"/>
    </row>
    <row r="41" spans="1:8" ht="15.6" x14ac:dyDescent="0.3">
      <c r="A41" s="57" t="s">
        <v>35</v>
      </c>
      <c r="B41" s="71">
        <v>20944</v>
      </c>
      <c r="C41" s="71">
        <f>SUM(C39:C40)</f>
        <v>15100</v>
      </c>
      <c r="D41" s="71">
        <f>SUM(D39:D40)</f>
        <v>18454</v>
      </c>
      <c r="E41" s="65"/>
    </row>
    <row r="42" spans="1:8" x14ac:dyDescent="0.25">
      <c r="B42" s="64"/>
      <c r="C42" s="64"/>
      <c r="D42" s="64"/>
      <c r="E42" s="65"/>
    </row>
    <row r="43" spans="1:8" ht="15.6" x14ac:dyDescent="0.3">
      <c r="A43" s="57" t="s">
        <v>140</v>
      </c>
      <c r="B43" s="71">
        <v>8799.1555511613496</v>
      </c>
      <c r="C43" s="71">
        <f>973.8*12</f>
        <v>11685.599999999999</v>
      </c>
      <c r="D43" s="71">
        <f>'reserves 2017'!H15</f>
        <v>9295.6201237810601</v>
      </c>
      <c r="E43" s="65"/>
    </row>
    <row r="44" spans="1:8" ht="16.2" thickBot="1" x14ac:dyDescent="0.35">
      <c r="A44" s="57" t="s">
        <v>70</v>
      </c>
      <c r="B44" s="70">
        <v>29330.518503871164</v>
      </c>
      <c r="C44" s="70"/>
      <c r="D44" s="72">
        <f>'reserves 2017'!G15</f>
        <v>37182.48049512424</v>
      </c>
      <c r="E44" s="65"/>
      <c r="G44" s="71"/>
    </row>
    <row r="45" spans="1:8" ht="15.6" x14ac:dyDescent="0.3">
      <c r="A45" s="57" t="s">
        <v>83</v>
      </c>
      <c r="B45" s="68">
        <v>100185</v>
      </c>
      <c r="C45" s="68">
        <f>SUM(C41+C36+C28+C26+C17)</f>
        <v>97240</v>
      </c>
      <c r="D45" s="68">
        <f>D41+D36+D28+D26+D17</f>
        <v>98284</v>
      </c>
      <c r="E45" s="73"/>
    </row>
    <row r="47" spans="1:8" ht="33.75" customHeight="1" x14ac:dyDescent="0.3">
      <c r="A47" s="106" t="s">
        <v>56</v>
      </c>
      <c r="B47" s="106" t="s">
        <v>57</v>
      </c>
      <c r="C47" s="107" t="s">
        <v>112</v>
      </c>
    </row>
    <row r="48" spans="1:8" ht="33.75" customHeight="1" x14ac:dyDescent="0.3">
      <c r="A48" s="108" t="s">
        <v>101</v>
      </c>
      <c r="B48" s="88">
        <v>3.49E-2</v>
      </c>
      <c r="C48" s="143">
        <f>SUM(D5*0.0349)/12</f>
        <v>284.67927091666667</v>
      </c>
      <c r="E48" s="81"/>
      <c r="H48" s="81"/>
    </row>
    <row r="49" spans="1:5" ht="33.75" customHeight="1" x14ac:dyDescent="0.3">
      <c r="A49" s="110" t="s">
        <v>102</v>
      </c>
      <c r="B49" s="88">
        <v>3.8600000000000002E-2</v>
      </c>
      <c r="C49" s="143">
        <f>SUM(D5*0.0386)/12</f>
        <v>314.86016783333338</v>
      </c>
      <c r="E49" s="81"/>
    </row>
    <row r="50" spans="1:5" ht="33.75" customHeight="1" x14ac:dyDescent="0.3">
      <c r="A50" s="108" t="s">
        <v>103</v>
      </c>
      <c r="B50" s="88">
        <v>4.1399999999999999E-2</v>
      </c>
      <c r="C50" s="143">
        <f>SUM(D5*0.0414)/12</f>
        <v>337.69976550000001</v>
      </c>
      <c r="E50" s="81"/>
    </row>
    <row r="51" spans="1:5" x14ac:dyDescent="0.25">
      <c r="E51" s="81"/>
    </row>
  </sheetData>
  <mergeCells count="1">
    <mergeCell ref="A1:D1"/>
  </mergeCells>
  <pageMargins left="0.25" right="0.28999999999999998" top="1" bottom="1" header="0.5" footer="0.5"/>
  <pageSetup scale="60" orientation="portrait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2:O27"/>
  <sheetViews>
    <sheetView topLeftCell="A5" workbookViewId="0">
      <selection activeCell="E4" sqref="E4"/>
    </sheetView>
  </sheetViews>
  <sheetFormatPr defaultColWidth="8.77734375" defaultRowHeight="13.2" x14ac:dyDescent="0.25"/>
  <cols>
    <col min="1" max="1" width="36.44140625" customWidth="1"/>
    <col min="2" max="2" width="13.77734375" bestFit="1" customWidth="1"/>
    <col min="3" max="3" width="24.44140625" bestFit="1" customWidth="1"/>
    <col min="4" max="4" width="19.21875" customWidth="1"/>
    <col min="5" max="5" width="23.44140625" customWidth="1"/>
    <col min="6" max="6" width="15.44140625" bestFit="1" customWidth="1"/>
    <col min="7" max="7" width="19.77734375" bestFit="1" customWidth="1"/>
    <col min="8" max="8" width="19.77734375" customWidth="1"/>
    <col min="9" max="10" width="20.21875" bestFit="1" customWidth="1"/>
    <col min="11" max="11" width="20.21875" style="3" bestFit="1" customWidth="1"/>
    <col min="15" max="15" width="10.44140625" bestFit="1" customWidth="1"/>
  </cols>
  <sheetData>
    <row r="2" spans="1:11" ht="15.6" x14ac:dyDescent="0.3">
      <c r="A2" s="206">
        <v>2017</v>
      </c>
      <c r="B2" s="206"/>
      <c r="C2" s="206"/>
      <c r="D2" s="206"/>
      <c r="E2" s="206"/>
      <c r="F2" s="206"/>
      <c r="G2" s="206"/>
      <c r="H2" s="206"/>
      <c r="I2" s="57"/>
      <c r="J2" s="57"/>
      <c r="K2"/>
    </row>
    <row r="3" spans="1:11" x14ac:dyDescent="0.25">
      <c r="A3" s="11" t="s">
        <v>44</v>
      </c>
      <c r="B3" s="11" t="s">
        <v>45</v>
      </c>
      <c r="C3" s="11" t="s">
        <v>45</v>
      </c>
      <c r="D3" s="12" t="s">
        <v>46</v>
      </c>
      <c r="E3" s="11" t="s">
        <v>47</v>
      </c>
      <c r="F3" s="11" t="s">
        <v>48</v>
      </c>
      <c r="G3" s="93">
        <v>1</v>
      </c>
      <c r="H3" s="11">
        <v>0.25</v>
      </c>
      <c r="K3"/>
    </row>
    <row r="4" spans="1:11" x14ac:dyDescent="0.25">
      <c r="A4" s="10"/>
      <c r="B4" s="11" t="s">
        <v>49</v>
      </c>
      <c r="C4" s="11" t="s">
        <v>50</v>
      </c>
      <c r="D4" s="12" t="s">
        <v>51</v>
      </c>
      <c r="E4" s="11" t="s">
        <v>138</v>
      </c>
      <c r="F4" s="11" t="s">
        <v>52</v>
      </c>
      <c r="G4" s="11" t="s">
        <v>139</v>
      </c>
      <c r="H4" s="11" t="s">
        <v>139</v>
      </c>
      <c r="K4"/>
    </row>
    <row r="5" spans="1:11" x14ac:dyDescent="0.25">
      <c r="A5" s="10"/>
      <c r="B5" s="11"/>
      <c r="C5" s="11"/>
      <c r="D5" s="12"/>
      <c r="E5" s="11"/>
      <c r="F5" s="11"/>
      <c r="G5" s="11"/>
      <c r="H5" s="11"/>
      <c r="K5"/>
    </row>
    <row r="6" spans="1:11" x14ac:dyDescent="0.25">
      <c r="A6" s="10" t="s">
        <v>59</v>
      </c>
      <c r="B6" s="11">
        <v>9</v>
      </c>
      <c r="C6" s="15">
        <v>27069</v>
      </c>
      <c r="D6" s="12">
        <v>0.2</v>
      </c>
      <c r="E6" s="32">
        <f>SUM(E15*D6)</f>
        <v>25675.483983636364</v>
      </c>
      <c r="F6" s="14">
        <v>2</v>
      </c>
      <c r="G6" s="15">
        <f>(C6-E6)/F6</f>
        <v>696.75800818181779</v>
      </c>
      <c r="H6" s="138">
        <f t="shared" ref="H6:H14" si="0">SUM(G6*0.25)</f>
        <v>174.18950204545445</v>
      </c>
      <c r="K6"/>
    </row>
    <row r="7" spans="1:11" x14ac:dyDescent="0.25">
      <c r="A7" s="10" t="s">
        <v>60</v>
      </c>
      <c r="B7" s="11">
        <v>12</v>
      </c>
      <c r="C7" s="15">
        <v>10000</v>
      </c>
      <c r="D7" s="12">
        <v>0.03</v>
      </c>
      <c r="E7" s="32">
        <f>SUM(E15*D7)</f>
        <v>3851.3225975454543</v>
      </c>
      <c r="F7" s="14">
        <v>2</v>
      </c>
      <c r="G7" s="15">
        <f t="shared" ref="G7:G13" si="1">(C7-E7)/F7</f>
        <v>3074.3387012272728</v>
      </c>
      <c r="H7" s="138">
        <f t="shared" si="0"/>
        <v>768.58467530681821</v>
      </c>
      <c r="K7"/>
    </row>
    <row r="8" spans="1:11" x14ac:dyDescent="0.25">
      <c r="A8" s="10" t="s">
        <v>53</v>
      </c>
      <c r="B8" s="11">
        <v>8</v>
      </c>
      <c r="C8" s="15">
        <v>21156</v>
      </c>
      <c r="D8" s="12">
        <v>0.15</v>
      </c>
      <c r="E8" s="32">
        <f>SUM(E15*D8)</f>
        <v>19256.612987727272</v>
      </c>
      <c r="F8" s="14">
        <v>3</v>
      </c>
      <c r="G8" s="15">
        <f t="shared" si="1"/>
        <v>633.12900409090923</v>
      </c>
      <c r="H8" s="138">
        <f t="shared" si="0"/>
        <v>158.28225102272731</v>
      </c>
      <c r="K8"/>
    </row>
    <row r="9" spans="1:11" x14ac:dyDescent="0.25">
      <c r="A9" s="10" t="s">
        <v>61</v>
      </c>
      <c r="B9" s="11">
        <v>1</v>
      </c>
      <c r="C9" s="15">
        <v>1855</v>
      </c>
      <c r="D9" s="12">
        <v>0</v>
      </c>
      <c r="E9" s="32">
        <f t="shared" ref="E9:E14" si="2">SUM(E18*D9)</f>
        <v>0</v>
      </c>
      <c r="F9" s="14">
        <v>1</v>
      </c>
      <c r="G9" s="15">
        <f t="shared" si="1"/>
        <v>1855</v>
      </c>
      <c r="H9" s="138">
        <f t="shared" si="0"/>
        <v>463.75</v>
      </c>
      <c r="K9"/>
    </row>
    <row r="10" spans="1:11" x14ac:dyDescent="0.25">
      <c r="A10" s="10" t="s">
        <v>62</v>
      </c>
      <c r="B10" s="11">
        <v>20</v>
      </c>
      <c r="C10" s="15">
        <v>14000</v>
      </c>
      <c r="D10" s="12">
        <v>7.5999999999999998E-2</v>
      </c>
      <c r="E10" s="32">
        <f>E15*D10</f>
        <v>9756.683913781817</v>
      </c>
      <c r="F10" s="14">
        <v>4</v>
      </c>
      <c r="G10" s="15">
        <f t="shared" si="1"/>
        <v>1060.8290215545458</v>
      </c>
      <c r="H10" s="138">
        <f t="shared" si="0"/>
        <v>265.20725538863644</v>
      </c>
      <c r="K10"/>
    </row>
    <row r="11" spans="1:11" x14ac:dyDescent="0.25">
      <c r="A11" s="10" t="s">
        <v>63</v>
      </c>
      <c r="B11" s="11">
        <v>1</v>
      </c>
      <c r="C11" s="15">
        <v>3060</v>
      </c>
      <c r="D11" s="12">
        <v>0</v>
      </c>
      <c r="E11" s="32">
        <f>SUM(E15*D11)</f>
        <v>0</v>
      </c>
      <c r="F11" s="14">
        <v>1</v>
      </c>
      <c r="G11" s="15">
        <f t="shared" si="1"/>
        <v>3060</v>
      </c>
      <c r="H11" s="138">
        <f t="shared" si="0"/>
        <v>765</v>
      </c>
      <c r="K11"/>
    </row>
    <row r="12" spans="1:11" x14ac:dyDescent="0.25">
      <c r="A12" s="10" t="s">
        <v>64</v>
      </c>
      <c r="B12" s="11">
        <v>5</v>
      </c>
      <c r="C12" s="15">
        <v>20000</v>
      </c>
      <c r="D12" s="12">
        <v>0.13</v>
      </c>
      <c r="E12" s="32">
        <f>SUM(E15*D12)</f>
        <v>16689.064589363636</v>
      </c>
      <c r="F12" s="14">
        <v>3</v>
      </c>
      <c r="G12" s="15">
        <f t="shared" si="1"/>
        <v>1103.6451368787882</v>
      </c>
      <c r="H12" s="138">
        <f t="shared" si="0"/>
        <v>275.91128421969705</v>
      </c>
      <c r="K12"/>
    </row>
    <row r="13" spans="1:11" x14ac:dyDescent="0.25">
      <c r="A13" s="10" t="s">
        <v>54</v>
      </c>
      <c r="B13" s="11">
        <v>20</v>
      </c>
      <c r="C13" s="15">
        <v>300000</v>
      </c>
      <c r="D13" s="12">
        <v>0.39</v>
      </c>
      <c r="E13" s="32">
        <f>SUM(E15*D13)</f>
        <v>50067.19376809091</v>
      </c>
      <c r="F13" s="14">
        <v>10</v>
      </c>
      <c r="G13" s="15">
        <f t="shared" si="1"/>
        <v>24993.280623190909</v>
      </c>
      <c r="H13" s="138">
        <f t="shared" si="0"/>
        <v>6248.3201557977272</v>
      </c>
      <c r="K13"/>
    </row>
    <row r="14" spans="1:11" x14ac:dyDescent="0.25">
      <c r="A14" s="10" t="s">
        <v>65</v>
      </c>
      <c r="B14" s="11">
        <v>5</v>
      </c>
      <c r="C14" s="15">
        <v>1411</v>
      </c>
      <c r="D14" s="12">
        <v>0</v>
      </c>
      <c r="E14" s="32">
        <f t="shared" si="2"/>
        <v>0</v>
      </c>
      <c r="F14" s="14">
        <v>2</v>
      </c>
      <c r="G14" s="15">
        <f>(C14-E14)/F14</f>
        <v>705.5</v>
      </c>
      <c r="H14" s="138">
        <f t="shared" si="0"/>
        <v>176.375</v>
      </c>
      <c r="K14"/>
    </row>
    <row r="15" spans="1:11" ht="13.8" thickBot="1" x14ac:dyDescent="0.3">
      <c r="A15" s="17" t="s">
        <v>55</v>
      </c>
      <c r="B15" s="18"/>
      <c r="C15" s="19">
        <f>SUM(C6:C14)</f>
        <v>398551</v>
      </c>
      <c r="D15" s="20">
        <f>SUM(D6:D14)</f>
        <v>0.97600000000000009</v>
      </c>
      <c r="E15" s="19">
        <f>119618+'reserves 2016'!H15</f>
        <v>128377.41991818181</v>
      </c>
      <c r="F15" s="19"/>
      <c r="G15" s="19">
        <f>SUM(G6:G14)</f>
        <v>37182.48049512424</v>
      </c>
      <c r="H15" s="140">
        <f>SUM(H6:H14)</f>
        <v>9295.6201237810601</v>
      </c>
      <c r="K15"/>
    </row>
    <row r="17" spans="1:15" x14ac:dyDescent="0.25">
      <c r="J17" s="31"/>
    </row>
    <row r="18" spans="1:15" ht="15.6" x14ac:dyDescent="0.3">
      <c r="A18" s="206" t="s">
        <v>1</v>
      </c>
      <c r="B18" s="206"/>
      <c r="C18" s="206"/>
      <c r="D18" s="206"/>
      <c r="E18" s="206"/>
      <c r="F18" s="206"/>
      <c r="G18" s="57"/>
      <c r="H18" s="3"/>
      <c r="I18" s="31"/>
      <c r="J18" s="31"/>
      <c r="K18" s="4"/>
    </row>
    <row r="19" spans="1:15" ht="100.5" customHeight="1" x14ac:dyDescent="0.25">
      <c r="A19" s="136" t="s">
        <v>56</v>
      </c>
      <c r="B19" s="136" t="s">
        <v>57</v>
      </c>
      <c r="C19" s="131" t="s">
        <v>112</v>
      </c>
      <c r="D19" s="137" t="s">
        <v>68</v>
      </c>
      <c r="E19" s="137" t="s">
        <v>68</v>
      </c>
      <c r="F19" s="137" t="s">
        <v>135</v>
      </c>
      <c r="G19" s="4"/>
      <c r="K19"/>
    </row>
    <row r="20" spans="1:15" ht="18.75" customHeight="1" x14ac:dyDescent="0.25">
      <c r="A20" s="97" t="s">
        <v>101</v>
      </c>
      <c r="B20" s="98">
        <v>3.49E-2</v>
      </c>
      <c r="C20" s="134">
        <f>'budget 2017'!C48</f>
        <v>284.67927091666667</v>
      </c>
      <c r="D20" s="100">
        <f>SUM(G15*B20/12)</f>
        <v>108.13904743998633</v>
      </c>
      <c r="E20" s="134">
        <f>SUM(C20+D20)</f>
        <v>392.81831835665298</v>
      </c>
      <c r="F20" s="134">
        <f>SUM(D20*0.25)+C20</f>
        <v>311.71403277666326</v>
      </c>
      <c r="G20" s="3"/>
      <c r="K20"/>
    </row>
    <row r="21" spans="1:15" ht="45" x14ac:dyDescent="0.25">
      <c r="A21" s="97" t="s">
        <v>102</v>
      </c>
      <c r="B21" s="98">
        <v>3.8600000000000002E-2</v>
      </c>
      <c r="C21" s="134">
        <f>'budget 2017'!C49</f>
        <v>314.86016783333338</v>
      </c>
      <c r="D21" s="100">
        <f>SUM(G15*B21/12)</f>
        <v>119.60364559264964</v>
      </c>
      <c r="E21" s="134">
        <f>SUM(C21+D21)</f>
        <v>434.46381342598301</v>
      </c>
      <c r="F21" s="134">
        <f>SUM(D21*0.25)+C21</f>
        <v>344.76107923149578</v>
      </c>
      <c r="G21" s="3"/>
      <c r="H21" s="83"/>
      <c r="K21"/>
    </row>
    <row r="22" spans="1:15" ht="28.5" customHeight="1" x14ac:dyDescent="0.25">
      <c r="A22" s="97" t="s">
        <v>103</v>
      </c>
      <c r="B22" s="98">
        <v>4.1399999999999999E-2</v>
      </c>
      <c r="C22" s="134">
        <f>'budget 2017'!C50</f>
        <v>337.69976550000001</v>
      </c>
      <c r="D22" s="100">
        <f>SUM(G15*B22/12)</f>
        <v>128.27955770817863</v>
      </c>
      <c r="E22" s="134">
        <f>SUM(C22+D22)</f>
        <v>465.97932320817864</v>
      </c>
      <c r="F22" s="134">
        <f>SUM(D22*0.25)+C22</f>
        <v>369.76965492704466</v>
      </c>
      <c r="G22" s="3"/>
      <c r="K22"/>
    </row>
    <row r="23" spans="1:15" x14ac:dyDescent="0.25">
      <c r="G23" s="31"/>
      <c r="H23" s="31"/>
    </row>
    <row r="24" spans="1:15" ht="13.8" thickBot="1" x14ac:dyDescent="0.3"/>
    <row r="25" spans="1:15" ht="12.75" customHeight="1" x14ac:dyDescent="0.25">
      <c r="A25" s="176" t="s">
        <v>42</v>
      </c>
      <c r="B25" s="177"/>
      <c r="C25" s="177"/>
      <c r="D25" s="177"/>
      <c r="E25" s="177"/>
      <c r="F25" s="177"/>
      <c r="G25" s="177"/>
      <c r="H25" s="177"/>
      <c r="I25" s="178"/>
      <c r="J25" s="135"/>
    </row>
    <row r="26" spans="1:15" ht="13.8" thickBot="1" x14ac:dyDescent="0.3">
      <c r="A26" s="179"/>
      <c r="B26" s="180"/>
      <c r="C26" s="180"/>
      <c r="D26" s="180"/>
      <c r="E26" s="180"/>
      <c r="F26" s="180"/>
      <c r="G26" s="180"/>
      <c r="H26" s="180"/>
      <c r="I26" s="181"/>
      <c r="J26" s="135"/>
      <c r="O26" s="31"/>
    </row>
    <row r="27" spans="1:15" x14ac:dyDescent="0.25">
      <c r="O27" s="31"/>
    </row>
  </sheetData>
  <mergeCells count="3">
    <mergeCell ref="A2:H2"/>
    <mergeCell ref="A25:I26"/>
    <mergeCell ref="A18:F18"/>
  </mergeCells>
  <pageMargins left="0.75" right="0.2" top="1" bottom="1" header="0.5" footer="0.5"/>
  <pageSetup scale="5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41"/>
  <sheetViews>
    <sheetView topLeftCell="A6" workbookViewId="0">
      <selection activeCell="G18" sqref="G18"/>
    </sheetView>
  </sheetViews>
  <sheetFormatPr defaultColWidth="8.77734375" defaultRowHeight="13.2" x14ac:dyDescent="0.25"/>
  <cols>
    <col min="1" max="1" width="24.44140625" customWidth="1"/>
    <col min="2" max="2" width="20.77734375" customWidth="1"/>
    <col min="3" max="3" width="19.21875" customWidth="1"/>
    <col min="4" max="4" width="23.44140625" customWidth="1"/>
    <col min="5" max="5" width="18.77734375" customWidth="1"/>
    <col min="7" max="8" width="15.44140625" bestFit="1" customWidth="1"/>
  </cols>
  <sheetData>
    <row r="1" spans="1:8" ht="13.8" thickBot="1" x14ac:dyDescent="0.3"/>
    <row r="2" spans="1:8" ht="16.2" thickBot="1" x14ac:dyDescent="0.35">
      <c r="A2" s="163" t="s">
        <v>43</v>
      </c>
      <c r="B2" s="164"/>
      <c r="C2" s="164"/>
      <c r="D2" s="164"/>
      <c r="E2" s="164"/>
      <c r="F2" s="164"/>
      <c r="G2" s="164"/>
      <c r="H2" s="165"/>
    </row>
    <row r="3" spans="1:8" x14ac:dyDescent="0.25">
      <c r="A3" s="7" t="s">
        <v>44</v>
      </c>
      <c r="B3" s="8" t="s">
        <v>45</v>
      </c>
      <c r="C3" s="8" t="s">
        <v>45</v>
      </c>
      <c r="D3" s="9" t="s">
        <v>46</v>
      </c>
      <c r="E3" s="8" t="s">
        <v>47</v>
      </c>
      <c r="F3" s="8" t="s">
        <v>48</v>
      </c>
      <c r="G3" s="33">
        <v>1</v>
      </c>
      <c r="H3" s="34">
        <v>0.7</v>
      </c>
    </row>
    <row r="4" spans="1:8" x14ac:dyDescent="0.25">
      <c r="A4" s="10"/>
      <c r="B4" s="11" t="s">
        <v>49</v>
      </c>
      <c r="C4" s="11" t="s">
        <v>50</v>
      </c>
      <c r="D4" s="12" t="s">
        <v>51</v>
      </c>
      <c r="E4" s="11" t="s">
        <v>43</v>
      </c>
      <c r="F4" s="11" t="s">
        <v>52</v>
      </c>
      <c r="G4" s="11" t="s">
        <v>66</v>
      </c>
      <c r="H4" s="13" t="s">
        <v>66</v>
      </c>
    </row>
    <row r="5" spans="1:8" x14ac:dyDescent="0.25">
      <c r="A5" s="10"/>
      <c r="B5" s="11"/>
      <c r="C5" s="11"/>
      <c r="D5" s="12"/>
      <c r="E5" s="11"/>
      <c r="F5" s="11"/>
      <c r="G5" s="11"/>
      <c r="H5" s="13"/>
    </row>
    <row r="6" spans="1:8" x14ac:dyDescent="0.25">
      <c r="A6" s="10" t="s">
        <v>59</v>
      </c>
      <c r="B6" s="11">
        <v>10</v>
      </c>
      <c r="C6" s="15">
        <v>27069</v>
      </c>
      <c r="D6" s="12">
        <v>0.22</v>
      </c>
      <c r="E6" s="32">
        <f>E15*0.22</f>
        <v>17874.964799999998</v>
      </c>
      <c r="F6" s="14">
        <v>5</v>
      </c>
      <c r="G6" s="15">
        <f>(C6-E6)/5</f>
        <v>1838.8070400000004</v>
      </c>
      <c r="H6" s="16">
        <f>G6*0.7</f>
        <v>1287.1649280000001</v>
      </c>
    </row>
    <row r="7" spans="1:8" x14ac:dyDescent="0.25">
      <c r="A7" s="10" t="s">
        <v>60</v>
      </c>
      <c r="B7" s="11">
        <v>12</v>
      </c>
      <c r="C7" s="15">
        <v>10000</v>
      </c>
      <c r="D7" s="12">
        <v>0.03</v>
      </c>
      <c r="E7" s="32">
        <f>E15*D7</f>
        <v>2437.4951999999998</v>
      </c>
      <c r="F7" s="14">
        <v>5</v>
      </c>
      <c r="G7" s="15">
        <f>(C7-E7)/5</f>
        <v>1512.5009600000001</v>
      </c>
      <c r="H7" s="16">
        <f>G7*0.7</f>
        <v>1058.7506719999999</v>
      </c>
    </row>
    <row r="8" spans="1:8" x14ac:dyDescent="0.25">
      <c r="A8" s="10" t="s">
        <v>53</v>
      </c>
      <c r="B8" s="11">
        <v>8</v>
      </c>
      <c r="C8" s="15">
        <v>21156</v>
      </c>
      <c r="D8" s="12">
        <v>0.17</v>
      </c>
      <c r="E8" s="32">
        <f>E15*D8</f>
        <v>13812.4728</v>
      </c>
      <c r="F8" s="14">
        <v>1</v>
      </c>
      <c r="G8" s="15">
        <f>(C8-E8)/1</f>
        <v>7343.5272000000004</v>
      </c>
      <c r="H8" s="16">
        <f>G8*0.7</f>
        <v>5140.4690399999999</v>
      </c>
    </row>
    <row r="9" spans="1:8" x14ac:dyDescent="0.25">
      <c r="A9" s="10" t="s">
        <v>61</v>
      </c>
      <c r="B9" s="11">
        <v>1</v>
      </c>
      <c r="C9" s="15">
        <v>1855</v>
      </c>
      <c r="D9" s="12">
        <f>8869/97701</f>
        <v>9.077696236476597E-2</v>
      </c>
      <c r="E9" s="32">
        <f>E15*D9</f>
        <v>7375.613667823256</v>
      </c>
      <c r="F9" s="14">
        <v>1</v>
      </c>
      <c r="G9" s="15">
        <v>77.62</v>
      </c>
      <c r="H9" s="16"/>
    </row>
    <row r="10" spans="1:8" x14ac:dyDescent="0.25">
      <c r="A10" s="10" t="s">
        <v>62</v>
      </c>
      <c r="B10" s="11">
        <v>20</v>
      </c>
      <c r="C10" s="15">
        <v>14000</v>
      </c>
      <c r="D10" s="12">
        <f>7431/97701</f>
        <v>7.6058586913132928E-2</v>
      </c>
      <c r="E10" s="32">
        <f>E15*D10</f>
        <v>6179.7480173181439</v>
      </c>
      <c r="F10" s="14">
        <v>10</v>
      </c>
      <c r="G10" s="15">
        <f>(C10-E10)/10</f>
        <v>782.02519826818559</v>
      </c>
      <c r="H10" s="16">
        <f>G10*0.7</f>
        <v>547.41763878772986</v>
      </c>
    </row>
    <row r="11" spans="1:8" x14ac:dyDescent="0.25">
      <c r="A11" s="10" t="s">
        <v>63</v>
      </c>
      <c r="B11" s="11">
        <v>1</v>
      </c>
      <c r="C11" s="15">
        <v>3060</v>
      </c>
      <c r="D11" s="12">
        <f>3060/97701</f>
        <v>3.1320047901249731E-2</v>
      </c>
      <c r="E11" s="32">
        <f>E15*D11</f>
        <v>2544.7488807688765</v>
      </c>
      <c r="F11" s="14">
        <v>1</v>
      </c>
      <c r="G11" s="15">
        <f>(C11-E11)/1</f>
        <v>515.25111923112354</v>
      </c>
      <c r="H11" s="16">
        <f>G11*0.7</f>
        <v>360.67578346178647</v>
      </c>
    </row>
    <row r="12" spans="1:8" x14ac:dyDescent="0.25">
      <c r="A12" s="10" t="s">
        <v>64</v>
      </c>
      <c r="B12" s="11">
        <v>1</v>
      </c>
      <c r="C12" s="15">
        <v>0</v>
      </c>
      <c r="D12" s="12">
        <f>96/97701</f>
        <v>9.8258973807842289E-4</v>
      </c>
      <c r="E12" s="32">
        <f>E15*D12</f>
        <v>79.835259004513759</v>
      </c>
      <c r="F12" s="14">
        <v>1</v>
      </c>
      <c r="G12" s="15">
        <v>0</v>
      </c>
      <c r="H12" s="16">
        <f>G12*0.8</f>
        <v>0</v>
      </c>
    </row>
    <row r="13" spans="1:8" x14ac:dyDescent="0.25">
      <c r="A13" s="10" t="s">
        <v>54</v>
      </c>
      <c r="B13" s="11">
        <v>20</v>
      </c>
      <c r="C13" s="15">
        <v>300000</v>
      </c>
      <c r="D13" s="12">
        <f>36655/97701</f>
        <v>0.37517527967983949</v>
      </c>
      <c r="E13" s="32">
        <f>E15*D13</f>
        <v>30482.931445942209</v>
      </c>
      <c r="F13" s="14">
        <v>25</v>
      </c>
      <c r="G13" s="15">
        <f>(C13-E13)/F13</f>
        <v>10780.682742162311</v>
      </c>
      <c r="H13" s="16">
        <f>G13*0.7</f>
        <v>7546.4779195136171</v>
      </c>
    </row>
    <row r="14" spans="1:8" x14ac:dyDescent="0.25">
      <c r="A14" s="10" t="s">
        <v>65</v>
      </c>
      <c r="B14" s="11">
        <v>1</v>
      </c>
      <c r="C14" s="15">
        <v>1411</v>
      </c>
      <c r="D14" s="12">
        <f>1411/97701</f>
        <v>1.4442022087798488E-2</v>
      </c>
      <c r="E14" s="32">
        <f>D14*E15</f>
        <v>1173.4119839100931</v>
      </c>
      <c r="F14" s="14">
        <v>0</v>
      </c>
      <c r="G14" s="15">
        <f>C14-E14</f>
        <v>237.58801608990689</v>
      </c>
      <c r="H14" s="16">
        <f>G14*0.7</f>
        <v>166.3116112629348</v>
      </c>
    </row>
    <row r="15" spans="1:8" ht="13.8" thickBot="1" x14ac:dyDescent="0.3">
      <c r="A15" s="17" t="s">
        <v>55</v>
      </c>
      <c r="B15" s="18"/>
      <c r="C15" s="19">
        <f>SUM(C6:C14)</f>
        <v>378551</v>
      </c>
      <c r="D15" s="20"/>
      <c r="E15" s="19">
        <f>73844.84+7405</f>
        <v>81249.84</v>
      </c>
      <c r="F15" s="19"/>
      <c r="G15" s="19">
        <f>SUM(G6:G14)</f>
        <v>23088.002275751529</v>
      </c>
      <c r="H15" s="21">
        <f>SUM(H6:H14)</f>
        <v>16107.267593026068</v>
      </c>
    </row>
    <row r="17" spans="1:8" ht="13.8" thickBot="1" x14ac:dyDescent="0.3"/>
    <row r="18" spans="1:8" ht="16.2" thickBot="1" x14ac:dyDescent="0.35">
      <c r="A18" s="163" t="s">
        <v>1</v>
      </c>
      <c r="B18" s="164"/>
      <c r="C18" s="164"/>
      <c r="D18" s="165"/>
      <c r="E18" s="31"/>
      <c r="G18" s="31"/>
    </row>
    <row r="19" spans="1:8" ht="62.4" x14ac:dyDescent="0.3">
      <c r="A19" s="22" t="s">
        <v>56</v>
      </c>
      <c r="B19" s="23" t="s">
        <v>57</v>
      </c>
      <c r="C19" s="24" t="s">
        <v>75</v>
      </c>
      <c r="D19" s="25" t="s">
        <v>68</v>
      </c>
      <c r="F19" s="31"/>
    </row>
    <row r="20" spans="1:8" ht="15" x14ac:dyDescent="0.25">
      <c r="A20" s="26" t="s">
        <v>39</v>
      </c>
      <c r="B20" s="27">
        <v>3.49E-2</v>
      </c>
      <c r="C20" s="28">
        <f>(H15/26/12)+H39</f>
        <v>309.38271600328869</v>
      </c>
      <c r="D20" s="29">
        <f>(G15/26/12)+H39</f>
        <v>331.75686562740879</v>
      </c>
    </row>
    <row r="21" spans="1:8" ht="27.75" customHeight="1" x14ac:dyDescent="0.25">
      <c r="A21" s="30" t="s">
        <v>40</v>
      </c>
      <c r="B21" s="27">
        <v>3.8600000000000002E-2</v>
      </c>
      <c r="C21" s="28">
        <f>(H15/26/12)+H40</f>
        <v>336.70937433662203</v>
      </c>
      <c r="D21" s="29">
        <f>(G15/26/12)+H40</f>
        <v>359.08352396074213</v>
      </c>
    </row>
    <row r="22" spans="1:8" ht="15" x14ac:dyDescent="0.25">
      <c r="A22" s="26" t="s">
        <v>41</v>
      </c>
      <c r="B22" s="27">
        <v>4.1399999999999999E-2</v>
      </c>
      <c r="C22" s="28">
        <f>(H15/26/12)+H41</f>
        <v>357.38900766995533</v>
      </c>
      <c r="D22" s="29">
        <f>(G15/26/12)+H41</f>
        <v>379.76315729407543</v>
      </c>
    </row>
    <row r="24" spans="1:8" ht="13.8" thickBot="1" x14ac:dyDescent="0.3"/>
    <row r="25" spans="1:8" x14ac:dyDescent="0.25">
      <c r="A25" s="166" t="s">
        <v>42</v>
      </c>
      <c r="B25" s="167"/>
      <c r="C25" s="167"/>
      <c r="D25" s="167"/>
      <c r="E25" s="167"/>
      <c r="F25" s="167"/>
      <c r="G25" s="167"/>
      <c r="H25" s="168"/>
    </row>
    <row r="26" spans="1:8" ht="13.8" thickBot="1" x14ac:dyDescent="0.3">
      <c r="A26" s="169"/>
      <c r="B26" s="170"/>
      <c r="C26" s="170"/>
      <c r="D26" s="170"/>
      <c r="E26" s="170"/>
      <c r="F26" s="170"/>
      <c r="G26" s="170"/>
      <c r="H26" s="171"/>
    </row>
    <row r="38" spans="8:8" ht="62.4" x14ac:dyDescent="0.3">
      <c r="H38" s="24" t="s">
        <v>58</v>
      </c>
    </row>
    <row r="39" spans="8:8" ht="15" x14ac:dyDescent="0.25">
      <c r="H39" s="28">
        <f>88627*0.0349/12</f>
        <v>257.75685833333335</v>
      </c>
    </row>
    <row r="40" spans="8:8" ht="15" x14ac:dyDescent="0.25">
      <c r="H40" s="28">
        <f>88627*0.0386/12</f>
        <v>285.0835166666667</v>
      </c>
    </row>
    <row r="41" spans="8:8" ht="15" x14ac:dyDescent="0.25">
      <c r="H41" s="28">
        <f>88627*0.0414/12</f>
        <v>305.76315</v>
      </c>
    </row>
  </sheetData>
  <mergeCells count="3">
    <mergeCell ref="A25:H26"/>
    <mergeCell ref="A2:H2"/>
    <mergeCell ref="A18:D18"/>
  </mergeCells>
  <phoneticPr fontId="1" type="noConversion"/>
  <pageMargins left="0.75" right="0.75" top="1" bottom="1" header="0.5" footer="0.5"/>
  <pageSetup scale="78" orientation="landscape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H51"/>
  <sheetViews>
    <sheetView topLeftCell="B34" workbookViewId="0">
      <selection activeCell="B49" sqref="B49:B50"/>
    </sheetView>
  </sheetViews>
  <sheetFormatPr defaultColWidth="8.77734375" defaultRowHeight="15" x14ac:dyDescent="0.25"/>
  <cols>
    <col min="1" max="1" width="56.21875" style="62" customWidth="1"/>
    <col min="2" max="2" width="25.44140625" style="77" customWidth="1"/>
    <col min="3" max="3" width="43.5546875" style="77" customWidth="1"/>
    <col min="4" max="4" width="25.44140625" style="77" customWidth="1"/>
    <col min="5" max="5" width="15.44140625" style="62" customWidth="1"/>
    <col min="6" max="6" width="8.77734375" style="62"/>
    <col min="7" max="7" width="9.44140625" style="62" customWidth="1"/>
    <col min="8" max="16384" width="8.77734375" style="62"/>
  </cols>
  <sheetData>
    <row r="1" spans="1:5" ht="42.75" customHeight="1" x14ac:dyDescent="0.3">
      <c r="A1" s="192" t="s">
        <v>141</v>
      </c>
      <c r="B1" s="193"/>
      <c r="C1" s="193"/>
      <c r="D1" s="193"/>
    </row>
    <row r="3" spans="1:5" ht="15.6" x14ac:dyDescent="0.3">
      <c r="B3" s="61" t="s">
        <v>107</v>
      </c>
      <c r="C3" s="61" t="s">
        <v>37</v>
      </c>
      <c r="D3" s="61" t="s">
        <v>72</v>
      </c>
      <c r="E3" s="60"/>
    </row>
    <row r="4" spans="1:5" ht="15.6" x14ac:dyDescent="0.3">
      <c r="A4" s="57" t="s">
        <v>0</v>
      </c>
      <c r="B4" s="61">
        <v>2017</v>
      </c>
      <c r="C4" s="61">
        <v>2017</v>
      </c>
      <c r="D4" s="61">
        <v>2018</v>
      </c>
      <c r="E4" s="63"/>
    </row>
    <row r="5" spans="1:5" x14ac:dyDescent="0.25">
      <c r="A5" s="62" t="s">
        <v>1</v>
      </c>
      <c r="B5" s="64">
        <v>97883.99</v>
      </c>
      <c r="C5" s="64">
        <v>97883.99</v>
      </c>
      <c r="D5" s="64">
        <f>SUM(D45)</f>
        <v>101755</v>
      </c>
      <c r="E5" s="65"/>
    </row>
    <row r="6" spans="1:5" ht="15.6" thickBot="1" x14ac:dyDescent="0.3">
      <c r="A6" s="62" t="s">
        <v>2</v>
      </c>
      <c r="B6" s="66">
        <v>400</v>
      </c>
      <c r="C6" s="66">
        <v>200</v>
      </c>
      <c r="D6" s="66">
        <v>400</v>
      </c>
      <c r="E6" s="65"/>
    </row>
    <row r="7" spans="1:5" ht="16.2" thickTop="1" x14ac:dyDescent="0.3">
      <c r="A7" s="67" t="s">
        <v>108</v>
      </c>
      <c r="B7" s="68">
        <v>98283.99</v>
      </c>
      <c r="C7" s="68">
        <f>SUM(C5:C6)</f>
        <v>98083.99</v>
      </c>
      <c r="D7" s="69">
        <f>SUM(D5:D6)</f>
        <v>102155</v>
      </c>
      <c r="E7" s="65"/>
    </row>
    <row r="8" spans="1:5" ht="15.6" x14ac:dyDescent="0.3">
      <c r="A8" s="57" t="s">
        <v>4</v>
      </c>
      <c r="B8" s="64"/>
      <c r="C8" s="64"/>
      <c r="D8" s="64"/>
      <c r="E8" s="65"/>
    </row>
    <row r="9" spans="1:5" ht="15.6" x14ac:dyDescent="0.3">
      <c r="A9" s="57" t="s">
        <v>5</v>
      </c>
      <c r="B9" s="64"/>
      <c r="C9" s="64"/>
      <c r="D9" s="64"/>
      <c r="E9" s="65"/>
    </row>
    <row r="10" spans="1:5" x14ac:dyDescent="0.25">
      <c r="A10" s="62" t="s">
        <v>38</v>
      </c>
      <c r="B10" s="64">
        <v>0</v>
      </c>
      <c r="C10" s="64">
        <v>3000</v>
      </c>
      <c r="D10" s="64">
        <v>500</v>
      </c>
      <c r="E10" s="65"/>
    </row>
    <row r="11" spans="1:5" x14ac:dyDescent="0.25">
      <c r="A11" s="62" t="s">
        <v>7</v>
      </c>
      <c r="B11" s="64">
        <v>250</v>
      </c>
      <c r="C11" s="64">
        <v>200</v>
      </c>
      <c r="D11" s="64">
        <v>200</v>
      </c>
      <c r="E11" s="65"/>
    </row>
    <row r="12" spans="1:5" x14ac:dyDescent="0.25">
      <c r="A12" s="62" t="s">
        <v>82</v>
      </c>
      <c r="B12" s="64">
        <v>600</v>
      </c>
      <c r="C12" s="64">
        <v>500</v>
      </c>
      <c r="D12" s="64">
        <v>600</v>
      </c>
      <c r="E12" s="65"/>
    </row>
    <row r="13" spans="1:5" x14ac:dyDescent="0.25">
      <c r="A13" s="62" t="s">
        <v>8</v>
      </c>
      <c r="B13" s="64">
        <v>200</v>
      </c>
      <c r="C13" s="64">
        <v>150</v>
      </c>
      <c r="D13" s="64">
        <v>200</v>
      </c>
      <c r="E13" s="65"/>
    </row>
    <row r="14" spans="1:5" x14ac:dyDescent="0.25">
      <c r="A14" s="62" t="s">
        <v>11</v>
      </c>
      <c r="B14" s="64">
        <v>150</v>
      </c>
      <c r="C14" s="64">
        <v>102</v>
      </c>
      <c r="D14" s="64">
        <v>150</v>
      </c>
      <c r="E14" s="65"/>
    </row>
    <row r="15" spans="1:5" x14ac:dyDescent="0.25">
      <c r="A15" s="62" t="s">
        <v>31</v>
      </c>
      <c r="B15" s="64">
        <v>280</v>
      </c>
      <c r="C15" s="64">
        <v>280</v>
      </c>
      <c r="D15" s="64">
        <v>280</v>
      </c>
      <c r="E15" s="65"/>
    </row>
    <row r="16" spans="1:5" ht="15.6" thickBot="1" x14ac:dyDescent="0.3">
      <c r="A16" s="62" t="s">
        <v>12</v>
      </c>
      <c r="B16" s="70">
        <v>150</v>
      </c>
      <c r="C16" s="70">
        <v>100</v>
      </c>
      <c r="D16" s="70">
        <v>125</v>
      </c>
      <c r="E16" s="65"/>
    </row>
    <row r="17" spans="1:7" ht="15.6" x14ac:dyDescent="0.3">
      <c r="A17" s="57" t="s">
        <v>13</v>
      </c>
      <c r="B17" s="71">
        <v>1630</v>
      </c>
      <c r="C17" s="71">
        <f>SUM(C10:C16)</f>
        <v>4332</v>
      </c>
      <c r="D17" s="71">
        <f>SUM(D10:D16)</f>
        <v>2055</v>
      </c>
      <c r="E17" s="65"/>
    </row>
    <row r="18" spans="1:7" x14ac:dyDescent="0.25">
      <c r="B18" s="64"/>
      <c r="C18" s="64"/>
      <c r="D18" s="64"/>
      <c r="E18" s="65"/>
    </row>
    <row r="19" spans="1:7" ht="15.6" x14ac:dyDescent="0.3">
      <c r="A19" s="57" t="s">
        <v>14</v>
      </c>
      <c r="B19" s="64"/>
      <c r="C19" s="64"/>
      <c r="D19" s="64"/>
      <c r="E19" s="65"/>
    </row>
    <row r="20" spans="1:7" x14ac:dyDescent="0.25">
      <c r="A20" s="62" t="s">
        <v>15</v>
      </c>
      <c r="B20" s="64">
        <v>16500</v>
      </c>
      <c r="C20" s="64">
        <v>16500</v>
      </c>
      <c r="D20" s="64">
        <v>16500</v>
      </c>
      <c r="E20" s="65"/>
    </row>
    <row r="21" spans="1:7" x14ac:dyDescent="0.25">
      <c r="A21" s="62" t="s">
        <v>16</v>
      </c>
      <c r="B21" s="64">
        <v>300</v>
      </c>
      <c r="C21" s="64">
        <v>300</v>
      </c>
      <c r="D21" s="64">
        <v>300</v>
      </c>
      <c r="E21" s="65"/>
    </row>
    <row r="22" spans="1:7" x14ac:dyDescent="0.25">
      <c r="A22" s="62" t="s">
        <v>17</v>
      </c>
      <c r="B22" s="64">
        <v>2500</v>
      </c>
      <c r="C22" s="64">
        <v>2100</v>
      </c>
      <c r="D22" s="64">
        <v>2500</v>
      </c>
      <c r="E22" s="65"/>
    </row>
    <row r="23" spans="1:7" x14ac:dyDescent="0.25">
      <c r="A23" s="62" t="s">
        <v>18</v>
      </c>
      <c r="B23" s="64">
        <v>4000</v>
      </c>
      <c r="C23" s="64">
        <v>4800</v>
      </c>
      <c r="D23" s="64">
        <v>4800</v>
      </c>
      <c r="E23" s="65"/>
    </row>
    <row r="24" spans="1:7" x14ac:dyDescent="0.25">
      <c r="A24" s="62" t="s">
        <v>19</v>
      </c>
      <c r="B24" s="64">
        <v>5600</v>
      </c>
      <c r="C24" s="64">
        <v>4800</v>
      </c>
      <c r="D24" s="64">
        <f>450*12</f>
        <v>5400</v>
      </c>
      <c r="E24" s="65"/>
    </row>
    <row r="25" spans="1:7" ht="15.6" thickBot="1" x14ac:dyDescent="0.3">
      <c r="A25" s="62" t="s">
        <v>20</v>
      </c>
      <c r="B25" s="70">
        <v>1800</v>
      </c>
      <c r="C25" s="70">
        <v>20000</v>
      </c>
      <c r="D25" s="70">
        <v>1800</v>
      </c>
      <c r="E25" s="65"/>
    </row>
    <row r="26" spans="1:7" ht="15.6" x14ac:dyDescent="0.3">
      <c r="A26" s="57" t="s">
        <v>21</v>
      </c>
      <c r="B26" s="71">
        <v>30700</v>
      </c>
      <c r="C26" s="71">
        <f>SUM(C20:C25)</f>
        <v>48500</v>
      </c>
      <c r="D26" s="71">
        <f>SUM(D20:D25)</f>
        <v>31300</v>
      </c>
      <c r="E26" s="65"/>
    </row>
    <row r="27" spans="1:7" x14ac:dyDescent="0.25">
      <c r="B27" s="64"/>
      <c r="C27" s="64"/>
      <c r="D27" s="64"/>
      <c r="E27" s="65"/>
    </row>
    <row r="28" spans="1:7" ht="15.6" x14ac:dyDescent="0.3">
      <c r="A28" s="57" t="s">
        <v>22</v>
      </c>
      <c r="B28" s="71">
        <v>30000</v>
      </c>
      <c r="C28" s="71">
        <v>28000</v>
      </c>
      <c r="D28" s="71">
        <v>30000</v>
      </c>
      <c r="E28" s="65"/>
      <c r="G28" s="62">
        <f>SUM(B28/C28)</f>
        <v>1.0714285714285714</v>
      </c>
    </row>
    <row r="29" spans="1:7" x14ac:dyDescent="0.25">
      <c r="B29" s="64"/>
      <c r="C29" s="64"/>
      <c r="D29" s="64"/>
      <c r="E29" s="65"/>
    </row>
    <row r="30" spans="1:7" ht="15.6" x14ac:dyDescent="0.3">
      <c r="A30" s="57" t="s">
        <v>23</v>
      </c>
      <c r="B30" s="64"/>
      <c r="C30" s="64"/>
      <c r="D30" s="64"/>
      <c r="E30" s="65"/>
    </row>
    <row r="31" spans="1:7" x14ac:dyDescent="0.25">
      <c r="A31" s="62" t="s">
        <v>26</v>
      </c>
      <c r="B31" s="64">
        <v>5000</v>
      </c>
      <c r="C31" s="64">
        <v>4800</v>
      </c>
      <c r="D31" s="64">
        <v>5000</v>
      </c>
      <c r="E31" s="65"/>
    </row>
    <row r="32" spans="1:7" x14ac:dyDescent="0.25">
      <c r="A32" s="62" t="s">
        <v>27</v>
      </c>
      <c r="B32" s="64">
        <v>7000</v>
      </c>
      <c r="C32" s="64">
        <v>6500</v>
      </c>
      <c r="D32" s="64">
        <v>6500</v>
      </c>
      <c r="E32" s="65"/>
    </row>
    <row r="33" spans="1:8" x14ac:dyDescent="0.25">
      <c r="A33" s="62" t="s">
        <v>28</v>
      </c>
      <c r="B33" s="64">
        <v>1200</v>
      </c>
      <c r="C33" s="64">
        <v>1200</v>
      </c>
      <c r="D33" s="64">
        <v>1200</v>
      </c>
      <c r="E33" s="65"/>
    </row>
    <row r="34" spans="1:8" x14ac:dyDescent="0.25">
      <c r="A34" s="62" t="s">
        <v>88</v>
      </c>
      <c r="B34" s="64">
        <v>300</v>
      </c>
      <c r="C34" s="64">
        <v>300</v>
      </c>
      <c r="D34" s="64">
        <v>300</v>
      </c>
      <c r="E34" s="65"/>
    </row>
    <row r="35" spans="1:8" ht="15.6" thickBot="1" x14ac:dyDescent="0.3">
      <c r="A35" s="62" t="s">
        <v>29</v>
      </c>
      <c r="B35" s="70">
        <v>4000</v>
      </c>
      <c r="C35" s="70">
        <v>2200</v>
      </c>
      <c r="D35" s="70">
        <v>2500</v>
      </c>
      <c r="E35" s="65"/>
    </row>
    <row r="36" spans="1:8" ht="15.6" x14ac:dyDescent="0.3">
      <c r="A36" s="57" t="s">
        <v>30</v>
      </c>
      <c r="B36" s="71">
        <v>17500</v>
      </c>
      <c r="C36" s="71">
        <f>SUM(C31:C35)</f>
        <v>15000</v>
      </c>
      <c r="D36" s="71">
        <f>SUM(D31:D35)</f>
        <v>15500</v>
      </c>
      <c r="E36" s="65"/>
    </row>
    <row r="37" spans="1:8" x14ac:dyDescent="0.25">
      <c r="B37" s="64"/>
      <c r="C37" s="64"/>
      <c r="D37" s="64"/>
      <c r="E37" s="65"/>
    </row>
    <row r="38" spans="1:8" ht="15.6" x14ac:dyDescent="0.3">
      <c r="A38" s="57" t="s">
        <v>32</v>
      </c>
      <c r="B38" s="64"/>
      <c r="C38" s="64"/>
      <c r="D38" s="64"/>
      <c r="E38" s="65"/>
    </row>
    <row r="39" spans="1:8" x14ac:dyDescent="0.25">
      <c r="A39" s="62" t="s">
        <v>33</v>
      </c>
      <c r="B39" s="64">
        <v>2500</v>
      </c>
      <c r="C39" s="64">
        <v>2400</v>
      </c>
      <c r="D39" s="64">
        <v>2500</v>
      </c>
      <c r="E39" s="65"/>
    </row>
    <row r="40" spans="1:8" ht="15.6" thickBot="1" x14ac:dyDescent="0.3">
      <c r="A40" s="62" t="s">
        <v>34</v>
      </c>
      <c r="B40" s="70">
        <v>15954</v>
      </c>
      <c r="C40" s="70">
        <v>20000</v>
      </c>
      <c r="D40" s="70">
        <v>20400</v>
      </c>
      <c r="E40" s="65"/>
    </row>
    <row r="41" spans="1:8" ht="15.6" x14ac:dyDescent="0.3">
      <c r="A41" s="57" t="s">
        <v>35</v>
      </c>
      <c r="B41" s="71">
        <v>18454</v>
      </c>
      <c r="C41" s="71">
        <f>SUM(C39:C40)</f>
        <v>22400</v>
      </c>
      <c r="D41" s="71">
        <f>SUM(D39:D40)</f>
        <v>22900</v>
      </c>
      <c r="E41" s="65"/>
    </row>
    <row r="42" spans="1:8" x14ac:dyDescent="0.25">
      <c r="B42" s="64"/>
      <c r="C42" s="64"/>
      <c r="D42" s="64"/>
      <c r="E42" s="65"/>
    </row>
    <row r="43" spans="1:8" ht="15.6" x14ac:dyDescent="0.3">
      <c r="A43" s="57" t="s">
        <v>140</v>
      </c>
      <c r="B43" s="71">
        <v>9295.6201237810601</v>
      </c>
      <c r="C43" s="71">
        <v>9295</v>
      </c>
      <c r="D43" s="71">
        <f>'reserves 2017'!H15</f>
        <v>9295.6201237810601</v>
      </c>
      <c r="E43" s="65"/>
    </row>
    <row r="44" spans="1:8" ht="16.2" thickBot="1" x14ac:dyDescent="0.35">
      <c r="A44" s="57" t="s">
        <v>70</v>
      </c>
      <c r="B44" s="70">
        <v>37182.48049512424</v>
      </c>
      <c r="C44" s="70"/>
      <c r="D44" s="72">
        <f>'reserves 2017'!G15</f>
        <v>37182.48049512424</v>
      </c>
      <c r="E44" s="65"/>
      <c r="G44" s="71"/>
    </row>
    <row r="45" spans="1:8" ht="15.6" x14ac:dyDescent="0.3">
      <c r="A45" s="57" t="s">
        <v>83</v>
      </c>
      <c r="B45" s="68">
        <v>98284</v>
      </c>
      <c r="C45" s="68">
        <f>SUM(C41+C36+C28+C26+C17)</f>
        <v>118232</v>
      </c>
      <c r="D45" s="68">
        <f>D41+D36+D28+D26+D17</f>
        <v>101755</v>
      </c>
      <c r="E45" s="73"/>
    </row>
    <row r="47" spans="1:8" ht="33.75" customHeight="1" x14ac:dyDescent="0.3">
      <c r="A47" s="106" t="s">
        <v>56</v>
      </c>
      <c r="B47" s="106" t="s">
        <v>57</v>
      </c>
      <c r="C47" s="107" t="s">
        <v>112</v>
      </c>
    </row>
    <row r="48" spans="1:8" ht="33.75" customHeight="1" x14ac:dyDescent="0.3">
      <c r="A48" s="108" t="s">
        <v>101</v>
      </c>
      <c r="B48" s="88">
        <v>3.49E-2</v>
      </c>
      <c r="C48" s="143">
        <f>SUM(D45*0.0349)/12</f>
        <v>295.93745833333332</v>
      </c>
      <c r="E48" s="81"/>
      <c r="H48" s="81"/>
    </row>
    <row r="49" spans="1:5" ht="33.75" customHeight="1" x14ac:dyDescent="0.3">
      <c r="A49" s="110" t="s">
        <v>102</v>
      </c>
      <c r="B49" s="88">
        <v>3.8600000000000002E-2</v>
      </c>
      <c r="C49" s="143">
        <f>SUM(D45*0.0386)/12</f>
        <v>327.31191666666672</v>
      </c>
      <c r="E49" s="81"/>
    </row>
    <row r="50" spans="1:5" ht="33.75" customHeight="1" x14ac:dyDescent="0.3">
      <c r="A50" s="108" t="s">
        <v>103</v>
      </c>
      <c r="B50" s="88">
        <v>4.1399999999999999E-2</v>
      </c>
      <c r="C50" s="143">
        <f>SUM(D45*0.0414)/12</f>
        <v>351.05475000000001</v>
      </c>
      <c r="E50" s="81"/>
    </row>
    <row r="51" spans="1:5" x14ac:dyDescent="0.25">
      <c r="E51" s="81"/>
    </row>
  </sheetData>
  <mergeCells count="1">
    <mergeCell ref="A1:D1"/>
  </mergeCells>
  <pageMargins left="0.25" right="0.28999999999999998" top="1" bottom="1" header="0.5" footer="0.5"/>
  <pageSetup scale="60" orientation="portrait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2:O27"/>
  <sheetViews>
    <sheetView topLeftCell="B16" workbookViewId="0">
      <selection activeCell="F22" sqref="F19:F22"/>
    </sheetView>
  </sheetViews>
  <sheetFormatPr defaultColWidth="8.77734375" defaultRowHeight="13.2" x14ac:dyDescent="0.25"/>
  <cols>
    <col min="1" max="1" width="36.44140625" customWidth="1"/>
    <col min="2" max="2" width="13.77734375" customWidth="1"/>
    <col min="3" max="3" width="24.44140625" customWidth="1"/>
    <col min="4" max="4" width="19.21875" customWidth="1"/>
    <col min="5" max="5" width="23.44140625" customWidth="1"/>
    <col min="6" max="6" width="15.44140625" customWidth="1"/>
    <col min="7" max="8" width="19.77734375" customWidth="1"/>
    <col min="9" max="10" width="20.21875" customWidth="1"/>
    <col min="11" max="11" width="20.21875" style="3" customWidth="1"/>
    <col min="15" max="15" width="10.44140625" customWidth="1"/>
  </cols>
  <sheetData>
    <row r="2" spans="1:11" ht="15.6" x14ac:dyDescent="0.3">
      <c r="A2" s="206">
        <v>2018</v>
      </c>
      <c r="B2" s="206"/>
      <c r="C2" s="206"/>
      <c r="D2" s="206"/>
      <c r="E2" s="206"/>
      <c r="F2" s="206"/>
      <c r="G2" s="206"/>
      <c r="H2" s="206"/>
      <c r="I2" s="57"/>
      <c r="J2" s="57"/>
      <c r="K2"/>
    </row>
    <row r="3" spans="1:11" x14ac:dyDescent="0.25">
      <c r="A3" s="11" t="s">
        <v>44</v>
      </c>
      <c r="B3" s="11" t="s">
        <v>45</v>
      </c>
      <c r="C3" s="11" t="s">
        <v>45</v>
      </c>
      <c r="D3" s="12" t="s">
        <v>46</v>
      </c>
      <c r="E3" s="11" t="s">
        <v>47</v>
      </c>
      <c r="F3" s="11" t="s">
        <v>48</v>
      </c>
      <c r="G3" s="93">
        <v>1</v>
      </c>
      <c r="H3" s="93">
        <v>0.25</v>
      </c>
      <c r="K3"/>
    </row>
    <row r="4" spans="1:11" x14ac:dyDescent="0.25">
      <c r="A4" s="10"/>
      <c r="B4" s="11" t="s">
        <v>49</v>
      </c>
      <c r="C4" s="11" t="s">
        <v>50</v>
      </c>
      <c r="D4" s="12" t="s">
        <v>51</v>
      </c>
      <c r="E4" s="11" t="s">
        <v>143</v>
      </c>
      <c r="F4" s="11" t="s">
        <v>52</v>
      </c>
      <c r="G4" s="11" t="s">
        <v>142</v>
      </c>
      <c r="H4" s="11" t="s">
        <v>142</v>
      </c>
      <c r="K4"/>
    </row>
    <row r="5" spans="1:11" x14ac:dyDescent="0.25">
      <c r="A5" s="10"/>
      <c r="B5" s="11"/>
      <c r="C5" s="11"/>
      <c r="D5" s="12"/>
      <c r="E5" s="11"/>
      <c r="F5" s="11"/>
      <c r="G5" s="11"/>
      <c r="H5" s="11"/>
      <c r="K5"/>
    </row>
    <row r="6" spans="1:11" x14ac:dyDescent="0.25">
      <c r="A6" s="10" t="s">
        <v>59</v>
      </c>
      <c r="B6" s="11">
        <v>9</v>
      </c>
      <c r="C6" s="15">
        <v>27069</v>
      </c>
      <c r="D6" s="12">
        <v>0.18</v>
      </c>
      <c r="E6" s="32">
        <f>SUM(E15*D6)</f>
        <v>24781.147199999999</v>
      </c>
      <c r="F6" s="14">
        <v>1</v>
      </c>
      <c r="G6" s="15">
        <f>(C6-E6)/F6</f>
        <v>2287.8528000000006</v>
      </c>
      <c r="H6" s="138">
        <f t="shared" ref="H6:H14" si="0">SUM(G6*0.25)</f>
        <v>571.96320000000014</v>
      </c>
      <c r="K6"/>
    </row>
    <row r="7" spans="1:11" x14ac:dyDescent="0.25">
      <c r="A7" s="10" t="s">
        <v>60</v>
      </c>
      <c r="B7" s="11">
        <v>12</v>
      </c>
      <c r="C7" s="15">
        <v>10000</v>
      </c>
      <c r="D7" s="12">
        <v>0.03</v>
      </c>
      <c r="E7" s="32">
        <f>SUM(E15*D7)</f>
        <v>4130.1912000000002</v>
      </c>
      <c r="F7" s="14">
        <v>1</v>
      </c>
      <c r="G7" s="15">
        <f t="shared" ref="G7:G13" si="1">(C7-E7)/F7</f>
        <v>5869.8087999999998</v>
      </c>
      <c r="H7" s="138">
        <f t="shared" si="0"/>
        <v>1467.4521999999999</v>
      </c>
      <c r="K7"/>
    </row>
    <row r="8" spans="1:11" x14ac:dyDescent="0.25">
      <c r="A8" s="10" t="s">
        <v>53</v>
      </c>
      <c r="B8" s="11">
        <v>8</v>
      </c>
      <c r="C8" s="15">
        <v>21156</v>
      </c>
      <c r="D8" s="12">
        <v>0.15</v>
      </c>
      <c r="E8" s="32">
        <f>SUM(E15*D8)</f>
        <v>20650.956000000002</v>
      </c>
      <c r="F8" s="14">
        <v>2</v>
      </c>
      <c r="G8" s="15">
        <f t="shared" si="1"/>
        <v>252.52199999999903</v>
      </c>
      <c r="H8" s="138">
        <f t="shared" si="0"/>
        <v>63.130499999999756</v>
      </c>
      <c r="K8"/>
    </row>
    <row r="9" spans="1:11" x14ac:dyDescent="0.25">
      <c r="A9" s="10" t="s">
        <v>61</v>
      </c>
      <c r="B9" s="11">
        <v>1</v>
      </c>
      <c r="C9" s="15">
        <v>1855</v>
      </c>
      <c r="D9" s="12">
        <v>0</v>
      </c>
      <c r="E9" s="32">
        <f t="shared" ref="E9:E14" si="2">SUM(E18*D9)</f>
        <v>0</v>
      </c>
      <c r="F9" s="14">
        <v>1</v>
      </c>
      <c r="G9" s="15">
        <f t="shared" si="1"/>
        <v>1855</v>
      </c>
      <c r="H9" s="138">
        <f t="shared" si="0"/>
        <v>463.75</v>
      </c>
      <c r="K9"/>
    </row>
    <row r="10" spans="1:11" x14ac:dyDescent="0.25">
      <c r="A10" s="10" t="s">
        <v>62</v>
      </c>
      <c r="B10" s="11">
        <v>20</v>
      </c>
      <c r="C10" s="15">
        <v>14000</v>
      </c>
      <c r="D10" s="12">
        <v>7.5999999999999998E-2</v>
      </c>
      <c r="E10" s="32">
        <f>E15*D10</f>
        <v>10463.151040000001</v>
      </c>
      <c r="F10" s="14">
        <v>3</v>
      </c>
      <c r="G10" s="15">
        <f t="shared" si="1"/>
        <v>1178.9496533333331</v>
      </c>
      <c r="H10" s="138">
        <f t="shared" si="0"/>
        <v>294.73741333333328</v>
      </c>
      <c r="K10"/>
    </row>
    <row r="11" spans="1:11" x14ac:dyDescent="0.25">
      <c r="A11" s="10" t="s">
        <v>63</v>
      </c>
      <c r="B11" s="11">
        <v>1</v>
      </c>
      <c r="C11" s="15">
        <v>3060</v>
      </c>
      <c r="D11" s="12">
        <v>0</v>
      </c>
      <c r="E11" s="32">
        <f>SUM(E15*D11)</f>
        <v>0</v>
      </c>
      <c r="F11" s="14">
        <v>1</v>
      </c>
      <c r="G11" s="15">
        <f t="shared" si="1"/>
        <v>3060</v>
      </c>
      <c r="H11" s="138">
        <f t="shared" si="0"/>
        <v>765</v>
      </c>
      <c r="K11"/>
    </row>
    <row r="12" spans="1:11" x14ac:dyDescent="0.25">
      <c r="A12" s="10" t="s">
        <v>64</v>
      </c>
      <c r="B12" s="11">
        <v>5</v>
      </c>
      <c r="C12" s="15">
        <v>20000</v>
      </c>
      <c r="D12" s="12">
        <v>0.13</v>
      </c>
      <c r="E12" s="32">
        <f>SUM(E15*D12)</f>
        <v>17897.495200000001</v>
      </c>
      <c r="F12" s="14">
        <v>2</v>
      </c>
      <c r="G12" s="15">
        <f t="shared" si="1"/>
        <v>1051.2523999999994</v>
      </c>
      <c r="H12" s="138">
        <f t="shared" si="0"/>
        <v>262.81309999999985</v>
      </c>
      <c r="K12"/>
    </row>
    <row r="13" spans="1:11" x14ac:dyDescent="0.25">
      <c r="A13" s="10" t="s">
        <v>54</v>
      </c>
      <c r="B13" s="11">
        <v>20</v>
      </c>
      <c r="C13" s="15">
        <v>300000</v>
      </c>
      <c r="D13" s="12">
        <v>0.41</v>
      </c>
      <c r="E13" s="32">
        <f>SUM(E15*D13)</f>
        <v>56445.946400000001</v>
      </c>
      <c r="F13" s="14">
        <v>9</v>
      </c>
      <c r="G13" s="15">
        <f t="shared" si="1"/>
        <v>27061.561511111111</v>
      </c>
      <c r="H13" s="138">
        <f t="shared" si="0"/>
        <v>6765.3903777777778</v>
      </c>
      <c r="K13"/>
    </row>
    <row r="14" spans="1:11" x14ac:dyDescent="0.25">
      <c r="A14" s="10" t="s">
        <v>65</v>
      </c>
      <c r="B14" s="11">
        <v>5</v>
      </c>
      <c r="C14" s="15">
        <v>1411</v>
      </c>
      <c r="D14" s="12">
        <v>0</v>
      </c>
      <c r="E14" s="32">
        <f t="shared" si="2"/>
        <v>0</v>
      </c>
      <c r="F14" s="14">
        <v>1</v>
      </c>
      <c r="G14" s="15">
        <f>(C14-E14)/F14</f>
        <v>1411</v>
      </c>
      <c r="H14" s="138">
        <f t="shared" si="0"/>
        <v>352.75</v>
      </c>
      <c r="K14"/>
    </row>
    <row r="15" spans="1:11" ht="13.8" thickBot="1" x14ac:dyDescent="0.3">
      <c r="A15" s="17" t="s">
        <v>55</v>
      </c>
      <c r="B15" s="18"/>
      <c r="C15" s="19">
        <f>SUM(C6:C14)</f>
        <v>398551</v>
      </c>
      <c r="D15" s="20">
        <f>SUM(D6:D14)</f>
        <v>0.97599999999999998</v>
      </c>
      <c r="E15" s="19">
        <v>137673.04</v>
      </c>
      <c r="F15" s="19"/>
      <c r="G15" s="19">
        <f>SUM(G6:G14)</f>
        <v>44027.947164444442</v>
      </c>
      <c r="H15" s="140">
        <f>SUM(H6:H14)</f>
        <v>11006.986791111111</v>
      </c>
      <c r="K15"/>
    </row>
    <row r="17" spans="1:15" x14ac:dyDescent="0.25">
      <c r="G17" s="31"/>
      <c r="J17" s="31"/>
    </row>
    <row r="18" spans="1:15" ht="15.6" x14ac:dyDescent="0.3">
      <c r="A18" s="206" t="s">
        <v>1</v>
      </c>
      <c r="B18" s="206"/>
      <c r="C18" s="206"/>
      <c r="D18" s="206"/>
      <c r="E18" s="206"/>
      <c r="F18" s="206"/>
      <c r="G18" s="57"/>
      <c r="H18" s="3"/>
      <c r="I18" s="31"/>
      <c r="J18" s="31"/>
      <c r="K18" s="4"/>
    </row>
    <row r="19" spans="1:15" ht="100.5" customHeight="1" x14ac:dyDescent="0.25">
      <c r="A19" s="136" t="s">
        <v>56</v>
      </c>
      <c r="B19" s="136" t="s">
        <v>57</v>
      </c>
      <c r="C19" s="131" t="s">
        <v>112</v>
      </c>
      <c r="D19" s="137" t="s">
        <v>68</v>
      </c>
      <c r="E19" s="137" t="s">
        <v>68</v>
      </c>
      <c r="F19" s="137" t="s">
        <v>135</v>
      </c>
      <c r="G19" s="4"/>
      <c r="K19"/>
    </row>
    <row r="20" spans="1:15" ht="18.75" customHeight="1" x14ac:dyDescent="0.25">
      <c r="A20" s="97" t="s">
        <v>101</v>
      </c>
      <c r="B20" s="98">
        <v>3.49E-2</v>
      </c>
      <c r="C20" s="134">
        <f>SUM('budget 2018'!C48)</f>
        <v>295.93745833333332</v>
      </c>
      <c r="D20" s="100">
        <f>SUM(G15*B20/12)</f>
        <v>128.04794633659259</v>
      </c>
      <c r="E20" s="134">
        <f>SUM(C20+D20)</f>
        <v>423.98540466992591</v>
      </c>
      <c r="F20" s="134">
        <f>SUM(D20*0.25)+C20</f>
        <v>327.94944491748146</v>
      </c>
      <c r="G20" s="3"/>
      <c r="K20"/>
    </row>
    <row r="21" spans="1:15" ht="45" x14ac:dyDescent="0.25">
      <c r="A21" s="97" t="s">
        <v>102</v>
      </c>
      <c r="B21" s="98">
        <v>3.8600000000000002E-2</v>
      </c>
      <c r="C21" s="134">
        <f>SUM('budget 2018'!C49)</f>
        <v>327.31191666666672</v>
      </c>
      <c r="D21" s="100">
        <f>SUM(G15*B21/12)</f>
        <v>141.62323004562964</v>
      </c>
      <c r="E21" s="134">
        <f>SUM(C21+D21)</f>
        <v>468.93514671229639</v>
      </c>
      <c r="F21" s="134">
        <f>SUM(D21*0.25)+C21</f>
        <v>362.71772417807415</v>
      </c>
      <c r="G21" s="3"/>
      <c r="H21" s="83"/>
      <c r="K21"/>
    </row>
    <row r="22" spans="1:15" ht="28.5" customHeight="1" x14ac:dyDescent="0.25">
      <c r="A22" s="97" t="s">
        <v>103</v>
      </c>
      <c r="B22" s="98">
        <v>4.1399999999999999E-2</v>
      </c>
      <c r="C22" s="134">
        <f>SUM('budget 2018'!C50)</f>
        <v>351.05475000000001</v>
      </c>
      <c r="D22" s="100">
        <f>SUM(G15*B22/12)</f>
        <v>151.89641771733332</v>
      </c>
      <c r="E22" s="134">
        <f>SUM(C22+D22)</f>
        <v>502.95116771733331</v>
      </c>
      <c r="F22" s="134">
        <f>SUM(D22*0.25)+C22</f>
        <v>389.02885442933336</v>
      </c>
      <c r="G22" s="3"/>
      <c r="K22"/>
    </row>
    <row r="23" spans="1:15" x14ac:dyDescent="0.25">
      <c r="G23" s="31"/>
      <c r="H23" s="31"/>
    </row>
    <row r="24" spans="1:15" ht="13.8" thickBot="1" x14ac:dyDescent="0.3"/>
    <row r="25" spans="1:15" ht="12.75" customHeight="1" x14ac:dyDescent="0.25">
      <c r="A25" s="176" t="s">
        <v>42</v>
      </c>
      <c r="B25" s="177"/>
      <c r="C25" s="177"/>
      <c r="D25" s="177"/>
      <c r="E25" s="177"/>
      <c r="F25" s="177"/>
      <c r="G25" s="177"/>
      <c r="H25" s="177"/>
      <c r="I25" s="178"/>
      <c r="J25" s="135"/>
    </row>
    <row r="26" spans="1:15" ht="13.8" thickBot="1" x14ac:dyDescent="0.3">
      <c r="A26" s="179"/>
      <c r="B26" s="180"/>
      <c r="C26" s="180"/>
      <c r="D26" s="180"/>
      <c r="E26" s="180"/>
      <c r="F26" s="180"/>
      <c r="G26" s="180"/>
      <c r="H26" s="180"/>
      <c r="I26" s="181"/>
      <c r="J26" s="135"/>
      <c r="O26" s="31"/>
    </row>
    <row r="27" spans="1:15" x14ac:dyDescent="0.25">
      <c r="O27" s="31"/>
    </row>
  </sheetData>
  <mergeCells count="3">
    <mergeCell ref="A2:H2"/>
    <mergeCell ref="A18:F18"/>
    <mergeCell ref="A25:I26"/>
  </mergeCells>
  <pageMargins left="0.75" right="0.2" top="1" bottom="1" header="0.5" footer="0.5"/>
  <pageSetup scale="59" orientation="landscape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H51"/>
  <sheetViews>
    <sheetView topLeftCell="B17" workbookViewId="0">
      <selection activeCell="D32" sqref="D32:E32"/>
    </sheetView>
  </sheetViews>
  <sheetFormatPr defaultColWidth="8.77734375" defaultRowHeight="15" x14ac:dyDescent="0.25"/>
  <cols>
    <col min="1" max="1" width="56.21875" style="62" customWidth="1"/>
    <col min="2" max="2" width="25.44140625" style="77" customWidth="1"/>
    <col min="3" max="3" width="28.44140625" style="77" customWidth="1"/>
    <col min="4" max="4" width="25.44140625" style="77" customWidth="1"/>
    <col min="5" max="5" width="15.44140625" style="62" customWidth="1"/>
    <col min="6" max="6" width="8.77734375" style="62"/>
    <col min="7" max="7" width="9.44140625" style="62" customWidth="1"/>
    <col min="8" max="16384" width="8.77734375" style="62"/>
  </cols>
  <sheetData>
    <row r="1" spans="1:5" ht="42.75" customHeight="1" x14ac:dyDescent="0.3">
      <c r="A1" s="192" t="s">
        <v>147</v>
      </c>
      <c r="B1" s="193"/>
      <c r="C1" s="193"/>
      <c r="D1" s="193"/>
    </row>
    <row r="3" spans="1:5" ht="15.6" x14ac:dyDescent="0.3">
      <c r="B3" s="61" t="s">
        <v>107</v>
      </c>
      <c r="C3" s="61" t="s">
        <v>37</v>
      </c>
      <c r="D3" s="61" t="s">
        <v>72</v>
      </c>
      <c r="E3" s="60"/>
    </row>
    <row r="4" spans="1:5" ht="15.6" x14ac:dyDescent="0.3">
      <c r="A4" s="57" t="s">
        <v>0</v>
      </c>
      <c r="B4" s="61">
        <v>2018</v>
      </c>
      <c r="C4" s="61">
        <v>2018</v>
      </c>
      <c r="D4" s="61">
        <v>2019</v>
      </c>
      <c r="E4" s="63"/>
    </row>
    <row r="5" spans="1:5" x14ac:dyDescent="0.25">
      <c r="A5" s="62" t="s">
        <v>1</v>
      </c>
      <c r="B5" s="64">
        <v>101755</v>
      </c>
      <c r="C5" s="64">
        <f>56382*2</f>
        <v>112764</v>
      </c>
      <c r="D5" s="64">
        <f>SUM(D45)</f>
        <v>103892</v>
      </c>
      <c r="E5" s="65"/>
    </row>
    <row r="6" spans="1:5" ht="15.6" thickBot="1" x14ac:dyDescent="0.3">
      <c r="A6" s="62" t="s">
        <v>2</v>
      </c>
      <c r="B6" s="66">
        <v>400</v>
      </c>
      <c r="C6" s="66">
        <v>900</v>
      </c>
      <c r="D6" s="66">
        <v>400</v>
      </c>
      <c r="E6" s="65"/>
    </row>
    <row r="7" spans="1:5" ht="16.2" thickTop="1" x14ac:dyDescent="0.3">
      <c r="A7" s="67" t="s">
        <v>108</v>
      </c>
      <c r="B7" s="68">
        <v>102155</v>
      </c>
      <c r="C7" s="158">
        <f>SUM(C5:C6)</f>
        <v>113664</v>
      </c>
      <c r="D7" s="69">
        <f>SUM(D5:D6)</f>
        <v>104292</v>
      </c>
      <c r="E7" s="65"/>
    </row>
    <row r="8" spans="1:5" ht="15.6" x14ac:dyDescent="0.3">
      <c r="A8" s="57" t="s">
        <v>4</v>
      </c>
      <c r="B8" s="64"/>
      <c r="C8" s="64"/>
      <c r="D8" s="64"/>
      <c r="E8" s="65"/>
    </row>
    <row r="9" spans="1:5" ht="15.6" x14ac:dyDescent="0.3">
      <c r="A9" s="57" t="s">
        <v>5</v>
      </c>
      <c r="B9" s="64"/>
      <c r="C9" s="64"/>
      <c r="D9" s="64"/>
      <c r="E9" s="65"/>
    </row>
    <row r="10" spans="1:5" x14ac:dyDescent="0.25">
      <c r="A10" s="62" t="s">
        <v>38</v>
      </c>
      <c r="B10" s="64">
        <v>500</v>
      </c>
      <c r="C10" s="64">
        <v>3000</v>
      </c>
      <c r="D10" s="64">
        <v>0</v>
      </c>
      <c r="E10" s="65"/>
    </row>
    <row r="11" spans="1:5" x14ac:dyDescent="0.25">
      <c r="A11" s="62" t="s">
        <v>7</v>
      </c>
      <c r="B11" s="64">
        <v>200</v>
      </c>
      <c r="C11" s="64">
        <v>62</v>
      </c>
      <c r="D11" s="64">
        <v>62</v>
      </c>
      <c r="E11" s="65"/>
    </row>
    <row r="12" spans="1:5" x14ac:dyDescent="0.25">
      <c r="A12" s="62" t="s">
        <v>82</v>
      </c>
      <c r="B12" s="64">
        <v>600</v>
      </c>
      <c r="C12" s="64">
        <v>500</v>
      </c>
      <c r="D12" s="64">
        <v>1000</v>
      </c>
      <c r="E12" s="65"/>
    </row>
    <row r="13" spans="1:5" x14ac:dyDescent="0.25">
      <c r="A13" s="62" t="s">
        <v>8</v>
      </c>
      <c r="B13" s="64">
        <v>200</v>
      </c>
      <c r="C13" s="64">
        <f>47*2</f>
        <v>94</v>
      </c>
      <c r="D13" s="64">
        <v>200</v>
      </c>
      <c r="E13" s="65"/>
    </row>
    <row r="14" spans="1:5" x14ac:dyDescent="0.25">
      <c r="A14" s="62" t="s">
        <v>11</v>
      </c>
      <c r="B14" s="64">
        <v>150</v>
      </c>
      <c r="C14" s="64">
        <f>68*2</f>
        <v>136</v>
      </c>
      <c r="D14" s="64">
        <v>150</v>
      </c>
      <c r="E14" s="65"/>
    </row>
    <row r="15" spans="1:5" x14ac:dyDescent="0.25">
      <c r="A15" s="62" t="s">
        <v>31</v>
      </c>
      <c r="B15" s="64">
        <v>280</v>
      </c>
      <c r="C15" s="64">
        <f>295*2</f>
        <v>590</v>
      </c>
      <c r="D15" s="64">
        <v>280</v>
      </c>
      <c r="E15" s="65"/>
    </row>
    <row r="16" spans="1:5" ht="15.6" thickBot="1" x14ac:dyDescent="0.3">
      <c r="A16" s="62" t="s">
        <v>12</v>
      </c>
      <c r="B16" s="70">
        <v>125</v>
      </c>
      <c r="C16" s="70">
        <f>80</f>
        <v>80</v>
      </c>
      <c r="D16" s="70">
        <v>100</v>
      </c>
      <c r="E16" s="65"/>
    </row>
    <row r="17" spans="1:7" ht="15.6" x14ac:dyDescent="0.3">
      <c r="A17" s="57" t="s">
        <v>13</v>
      </c>
      <c r="B17" s="71">
        <v>2055</v>
      </c>
      <c r="C17" s="71">
        <f>SUM(C10:C16)</f>
        <v>4462</v>
      </c>
      <c r="D17" s="71">
        <f>SUM(D10:D16)</f>
        <v>1792</v>
      </c>
      <c r="E17" s="65"/>
    </row>
    <row r="18" spans="1:7" x14ac:dyDescent="0.25">
      <c r="B18" s="64"/>
      <c r="C18" s="64"/>
      <c r="D18" s="64"/>
      <c r="E18" s="65"/>
    </row>
    <row r="19" spans="1:7" ht="15.6" x14ac:dyDescent="0.3">
      <c r="A19" s="57" t="s">
        <v>14</v>
      </c>
      <c r="B19" s="64"/>
      <c r="C19" s="64"/>
      <c r="D19" s="64"/>
      <c r="E19" s="65"/>
    </row>
    <row r="20" spans="1:7" x14ac:dyDescent="0.25">
      <c r="A20" s="62" t="s">
        <v>15</v>
      </c>
      <c r="B20" s="64">
        <v>16500</v>
      </c>
      <c r="C20" s="64">
        <f>8877*2</f>
        <v>17754</v>
      </c>
      <c r="D20" s="64">
        <v>18000</v>
      </c>
      <c r="E20" s="65"/>
    </row>
    <row r="21" spans="1:7" x14ac:dyDescent="0.25">
      <c r="A21" s="62" t="s">
        <v>16</v>
      </c>
      <c r="B21" s="64">
        <v>300</v>
      </c>
      <c r="C21" s="64">
        <v>180</v>
      </c>
      <c r="D21" s="64">
        <v>200</v>
      </c>
      <c r="E21" s="65"/>
    </row>
    <row r="22" spans="1:7" x14ac:dyDescent="0.25">
      <c r="A22" s="62" t="s">
        <v>17</v>
      </c>
      <c r="B22" s="64">
        <v>2500</v>
      </c>
      <c r="C22" s="64">
        <f>50*12</f>
        <v>600</v>
      </c>
      <c r="D22" s="64">
        <v>700</v>
      </c>
      <c r="E22" s="65"/>
    </row>
    <row r="23" spans="1:7" x14ac:dyDescent="0.25">
      <c r="A23" s="62" t="s">
        <v>18</v>
      </c>
      <c r="B23" s="64">
        <v>4800</v>
      </c>
      <c r="C23" s="64">
        <v>4000</v>
      </c>
      <c r="D23" s="64">
        <v>4800</v>
      </c>
      <c r="E23" s="65"/>
    </row>
    <row r="24" spans="1:7" x14ac:dyDescent="0.25">
      <c r="A24" s="62" t="s">
        <v>19</v>
      </c>
      <c r="B24" s="64">
        <v>5400</v>
      </c>
      <c r="C24" s="64">
        <f>400*12</f>
        <v>4800</v>
      </c>
      <c r="D24" s="64">
        <v>4800</v>
      </c>
      <c r="E24" s="65"/>
    </row>
    <row r="25" spans="1:7" ht="15.6" thickBot="1" x14ac:dyDescent="0.3">
      <c r="A25" s="62" t="s">
        <v>20</v>
      </c>
      <c r="B25" s="70">
        <v>1800</v>
      </c>
      <c r="C25" s="70">
        <f>1295*2</f>
        <v>2590</v>
      </c>
      <c r="D25" s="70">
        <v>2600</v>
      </c>
      <c r="E25" s="65"/>
    </row>
    <row r="26" spans="1:7" ht="15.6" x14ac:dyDescent="0.3">
      <c r="A26" s="57" t="s">
        <v>21</v>
      </c>
      <c r="B26" s="71">
        <v>31300</v>
      </c>
      <c r="C26" s="71">
        <f>SUM(C20:C25)</f>
        <v>29924</v>
      </c>
      <c r="D26" s="71">
        <f>SUM(D20:D25)</f>
        <v>31100</v>
      </c>
      <c r="E26" s="65"/>
    </row>
    <row r="27" spans="1:7" x14ac:dyDescent="0.25">
      <c r="B27" s="64"/>
      <c r="C27" s="64"/>
      <c r="D27" s="64"/>
      <c r="E27" s="65"/>
    </row>
    <row r="28" spans="1:7" ht="15.6" x14ac:dyDescent="0.3">
      <c r="A28" s="57" t="s">
        <v>22</v>
      </c>
      <c r="B28" s="71">
        <v>30000</v>
      </c>
      <c r="C28" s="71">
        <f>15910*2</f>
        <v>31820</v>
      </c>
      <c r="D28" s="71">
        <v>30400</v>
      </c>
      <c r="E28" s="65"/>
      <c r="G28" s="62">
        <f>SUM(B28/C28)</f>
        <v>0.94280326838466377</v>
      </c>
    </row>
    <row r="29" spans="1:7" x14ac:dyDescent="0.25">
      <c r="B29" s="64"/>
      <c r="C29" s="64"/>
      <c r="D29" s="64"/>
      <c r="E29" s="65"/>
    </row>
    <row r="30" spans="1:7" ht="15.6" x14ac:dyDescent="0.3">
      <c r="A30" s="57" t="s">
        <v>23</v>
      </c>
      <c r="B30" s="64"/>
      <c r="C30" s="64"/>
      <c r="D30" s="64"/>
      <c r="E30" s="65"/>
    </row>
    <row r="31" spans="1:7" x14ac:dyDescent="0.25">
      <c r="A31" s="62" t="s">
        <v>26</v>
      </c>
      <c r="B31" s="64">
        <v>5000</v>
      </c>
      <c r="C31" s="64">
        <f>3693*2</f>
        <v>7386</v>
      </c>
      <c r="D31" s="64">
        <v>7400</v>
      </c>
      <c r="E31" s="65"/>
    </row>
    <row r="32" spans="1:7" x14ac:dyDescent="0.25">
      <c r="A32" s="62" t="s">
        <v>27</v>
      </c>
      <c r="B32" s="64">
        <v>6500</v>
      </c>
      <c r="C32" s="64">
        <f>690*12</f>
        <v>8280</v>
      </c>
      <c r="D32" s="64">
        <v>8500</v>
      </c>
      <c r="E32" s="65">
        <f>784.77*12</f>
        <v>9417.24</v>
      </c>
    </row>
    <row r="33" spans="1:8" x14ac:dyDescent="0.25">
      <c r="A33" s="62" t="s">
        <v>28</v>
      </c>
      <c r="B33" s="64">
        <v>1200</v>
      </c>
      <c r="C33" s="64">
        <v>0</v>
      </c>
      <c r="D33" s="64">
        <v>2500</v>
      </c>
      <c r="E33" s="65"/>
    </row>
    <row r="34" spans="1:8" x14ac:dyDescent="0.25">
      <c r="A34" s="62" t="s">
        <v>88</v>
      </c>
      <c r="B34" s="64">
        <v>300</v>
      </c>
      <c r="C34" s="64">
        <v>300</v>
      </c>
      <c r="D34" s="64">
        <v>300</v>
      </c>
      <c r="E34" s="65"/>
    </row>
    <row r="35" spans="1:8" ht="15.6" thickBot="1" x14ac:dyDescent="0.3">
      <c r="A35" s="62" t="s">
        <v>29</v>
      </c>
      <c r="B35" s="70">
        <v>2500</v>
      </c>
      <c r="C35" s="70">
        <v>6800</v>
      </c>
      <c r="D35" s="70">
        <v>2500</v>
      </c>
      <c r="E35" s="65"/>
    </row>
    <row r="36" spans="1:8" ht="15.6" x14ac:dyDescent="0.3">
      <c r="A36" s="57" t="s">
        <v>30</v>
      </c>
      <c r="B36" s="71">
        <v>15500</v>
      </c>
      <c r="C36" s="71">
        <f>SUM(C31:C35)</f>
        <v>22766</v>
      </c>
      <c r="D36" s="71">
        <f>SUM(D31:D35)</f>
        <v>21200</v>
      </c>
      <c r="E36" s="65"/>
    </row>
    <row r="37" spans="1:8" x14ac:dyDescent="0.25">
      <c r="B37" s="64"/>
      <c r="C37" s="64"/>
      <c r="D37" s="64"/>
      <c r="E37" s="65"/>
    </row>
    <row r="38" spans="1:8" ht="15.6" x14ac:dyDescent="0.3">
      <c r="A38" s="57" t="s">
        <v>32</v>
      </c>
      <c r="B38" s="64"/>
      <c r="C38" s="64"/>
      <c r="D38" s="64"/>
      <c r="E38" s="65"/>
    </row>
    <row r="39" spans="1:8" x14ac:dyDescent="0.25">
      <c r="A39" s="62" t="s">
        <v>33</v>
      </c>
      <c r="B39" s="64">
        <v>2500</v>
      </c>
      <c r="C39" s="64">
        <f>1144*2</f>
        <v>2288</v>
      </c>
      <c r="D39" s="64">
        <v>2400</v>
      </c>
      <c r="E39" s="65"/>
    </row>
    <row r="40" spans="1:8" ht="15.6" thickBot="1" x14ac:dyDescent="0.3">
      <c r="A40" s="62" t="s">
        <v>34</v>
      </c>
      <c r="B40" s="70">
        <v>20400</v>
      </c>
      <c r="C40" s="70">
        <v>17000</v>
      </c>
      <c r="D40" s="70">
        <v>17000</v>
      </c>
      <c r="E40" s="65"/>
    </row>
    <row r="41" spans="1:8" ht="15.6" x14ac:dyDescent="0.3">
      <c r="A41" s="57" t="s">
        <v>35</v>
      </c>
      <c r="B41" s="71">
        <v>22900</v>
      </c>
      <c r="C41" s="71">
        <f>SUM(C39:C40)</f>
        <v>19288</v>
      </c>
      <c r="D41" s="71">
        <f>SUM(D39:D40)</f>
        <v>19400</v>
      </c>
      <c r="E41" s="65"/>
    </row>
    <row r="42" spans="1:8" x14ac:dyDescent="0.25">
      <c r="B42" s="64"/>
      <c r="C42" s="64"/>
      <c r="D42" s="64"/>
      <c r="E42" s="65"/>
    </row>
    <row r="43" spans="1:8" ht="15.6" x14ac:dyDescent="0.3">
      <c r="A43" s="57" t="s">
        <v>151</v>
      </c>
      <c r="B43" s="71">
        <v>9295.6201237810601</v>
      </c>
      <c r="C43" s="71">
        <f>SUM('reserves 2018'!H15)</f>
        <v>11006.986791111111</v>
      </c>
      <c r="D43" s="71">
        <f>SUM('reserves 2019'!H15)</f>
        <v>15096.758333333333</v>
      </c>
      <c r="E43" s="65"/>
    </row>
    <row r="44" spans="1:8" ht="16.2" thickBot="1" x14ac:dyDescent="0.35">
      <c r="A44" s="57" t="s">
        <v>70</v>
      </c>
      <c r="B44" s="70">
        <v>37182.48049512424</v>
      </c>
      <c r="C44" s="70">
        <v>0</v>
      </c>
      <c r="D44" s="72">
        <f>SUM('reserves 2019'!G15)</f>
        <v>75483.791666666672</v>
      </c>
      <c r="E44" s="65"/>
      <c r="G44" s="71"/>
    </row>
    <row r="45" spans="1:8" ht="15.6" x14ac:dyDescent="0.3">
      <c r="A45" s="57" t="s">
        <v>83</v>
      </c>
      <c r="B45" s="68">
        <v>101755</v>
      </c>
      <c r="C45" s="68">
        <f>SUM(C41+C36+C28+C26+C17)</f>
        <v>108260</v>
      </c>
      <c r="D45" s="68">
        <f>D41+D36+D28+D26+D17</f>
        <v>103892</v>
      </c>
      <c r="E45" s="73"/>
    </row>
    <row r="46" spans="1:8" x14ac:dyDescent="0.25">
      <c r="B46" s="77">
        <v>20400</v>
      </c>
    </row>
    <row r="47" spans="1:8" ht="33.75" customHeight="1" x14ac:dyDescent="0.3">
      <c r="A47" s="106" t="s">
        <v>56</v>
      </c>
      <c r="B47" s="106"/>
      <c r="C47" s="107" t="s">
        <v>112</v>
      </c>
    </row>
    <row r="48" spans="1:8" ht="33.75" customHeight="1" x14ac:dyDescent="0.3">
      <c r="A48" s="108" t="s">
        <v>101</v>
      </c>
      <c r="B48" s="88">
        <v>3.49E-2</v>
      </c>
      <c r="C48" s="143">
        <f>SUM(D45*0.0349)/12</f>
        <v>302.1525666666667</v>
      </c>
      <c r="E48" s="81"/>
      <c r="H48" s="81"/>
    </row>
    <row r="49" spans="1:5" ht="33.75" customHeight="1" x14ac:dyDescent="0.3">
      <c r="A49" s="110" t="s">
        <v>102</v>
      </c>
      <c r="B49" s="88">
        <v>3.8600000000000002E-2</v>
      </c>
      <c r="C49" s="143">
        <f>SUM(D45*0.0386)/12</f>
        <v>334.18593333333337</v>
      </c>
      <c r="E49" s="81"/>
    </row>
    <row r="50" spans="1:5" ht="33.75" customHeight="1" x14ac:dyDescent="0.3">
      <c r="A50" s="108" t="s">
        <v>103</v>
      </c>
      <c r="B50" s="88">
        <v>4.1399999999999999E-2</v>
      </c>
      <c r="C50" s="143">
        <f>SUM(D45*0.0414)/12</f>
        <v>358.42739999999998</v>
      </c>
      <c r="E50" s="81"/>
    </row>
    <row r="51" spans="1:5" x14ac:dyDescent="0.25">
      <c r="E51" s="81"/>
    </row>
  </sheetData>
  <mergeCells count="1">
    <mergeCell ref="A1:D1"/>
  </mergeCells>
  <pageMargins left="0.25" right="0.28999999999999998" top="1" bottom="1" header="0.5" footer="0.5"/>
  <pageSetup scale="60" orientation="portrait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O27"/>
  <sheetViews>
    <sheetView topLeftCell="B19" workbookViewId="0">
      <selection activeCell="G22" sqref="G19:G22"/>
    </sheetView>
  </sheetViews>
  <sheetFormatPr defaultColWidth="8.77734375" defaultRowHeight="13.2" x14ac:dyDescent="0.25"/>
  <cols>
    <col min="1" max="1" width="36.44140625" customWidth="1"/>
    <col min="2" max="2" width="13.77734375" customWidth="1"/>
    <col min="3" max="3" width="24.44140625" customWidth="1"/>
    <col min="4" max="4" width="19.21875" customWidth="1"/>
    <col min="5" max="5" width="23.44140625" customWidth="1"/>
    <col min="6" max="6" width="15.44140625" customWidth="1"/>
    <col min="7" max="8" width="19.77734375" customWidth="1"/>
    <col min="9" max="10" width="20.21875" customWidth="1"/>
    <col min="11" max="11" width="20.21875" style="3" customWidth="1"/>
    <col min="15" max="15" width="10.44140625" customWidth="1"/>
  </cols>
  <sheetData>
    <row r="1" spans="1:11" ht="13.8" thickBot="1" x14ac:dyDescent="0.3"/>
    <row r="2" spans="1:11" ht="15.6" x14ac:dyDescent="0.3">
      <c r="A2" s="218" t="s">
        <v>146</v>
      </c>
      <c r="B2" s="219"/>
      <c r="C2" s="219"/>
      <c r="D2" s="219"/>
      <c r="E2" s="219"/>
      <c r="F2" s="219"/>
      <c r="G2" s="219"/>
      <c r="H2" s="220"/>
      <c r="I2" s="57"/>
      <c r="J2" s="57"/>
      <c r="K2"/>
    </row>
    <row r="3" spans="1:11" x14ac:dyDescent="0.25">
      <c r="A3" s="10" t="s">
        <v>44</v>
      </c>
      <c r="B3" s="11" t="s">
        <v>45</v>
      </c>
      <c r="C3" s="11" t="s">
        <v>45</v>
      </c>
      <c r="D3" s="12" t="s">
        <v>46</v>
      </c>
      <c r="E3" s="11" t="s">
        <v>47</v>
      </c>
      <c r="F3" s="11" t="s">
        <v>48</v>
      </c>
      <c r="G3" s="93">
        <v>1</v>
      </c>
      <c r="H3" s="56">
        <v>0.2</v>
      </c>
      <c r="K3"/>
    </row>
    <row r="4" spans="1:11" x14ac:dyDescent="0.25">
      <c r="A4" s="10"/>
      <c r="B4" s="11" t="s">
        <v>49</v>
      </c>
      <c r="C4" s="11" t="s">
        <v>50</v>
      </c>
      <c r="D4" s="12" t="s">
        <v>51</v>
      </c>
      <c r="E4" s="11" t="s">
        <v>144</v>
      </c>
      <c r="F4" s="11" t="s">
        <v>52</v>
      </c>
      <c r="G4" s="11" t="s">
        <v>145</v>
      </c>
      <c r="H4" s="13" t="s">
        <v>145</v>
      </c>
      <c r="K4"/>
    </row>
    <row r="5" spans="1:11" x14ac:dyDescent="0.25">
      <c r="A5" s="10"/>
      <c r="B5" s="11"/>
      <c r="C5" s="11"/>
      <c r="D5" s="12"/>
      <c r="E5" s="11"/>
      <c r="F5" s="11"/>
      <c r="G5" s="11"/>
      <c r="H5" s="13"/>
      <c r="K5"/>
    </row>
    <row r="6" spans="1:11" x14ac:dyDescent="0.25">
      <c r="A6" s="10" t="s">
        <v>59</v>
      </c>
      <c r="B6" s="11">
        <v>9</v>
      </c>
      <c r="C6" s="15">
        <v>27069</v>
      </c>
      <c r="D6" s="12">
        <v>0.18</v>
      </c>
      <c r="E6" s="32">
        <f>SUM(E15*D6)</f>
        <v>22230</v>
      </c>
      <c r="F6" s="14">
        <v>2</v>
      </c>
      <c r="G6" s="15">
        <f>(C6-E6)/F6</f>
        <v>2419.5</v>
      </c>
      <c r="H6" s="157">
        <f>SUM(G6*0.2)</f>
        <v>483.90000000000003</v>
      </c>
      <c r="K6"/>
    </row>
    <row r="7" spans="1:11" x14ac:dyDescent="0.25">
      <c r="A7" s="10" t="s">
        <v>60</v>
      </c>
      <c r="B7" s="11">
        <v>12</v>
      </c>
      <c r="C7" s="15">
        <v>10000</v>
      </c>
      <c r="D7" s="12">
        <v>0.03</v>
      </c>
      <c r="E7" s="32">
        <f>SUM(E15*D7)</f>
        <v>3705</v>
      </c>
      <c r="F7" s="14">
        <v>2</v>
      </c>
      <c r="G7" s="15">
        <f t="shared" ref="G7:G13" si="0">(C7-E7)/F7</f>
        <v>3147.5</v>
      </c>
      <c r="H7" s="157">
        <f t="shared" ref="H7:H14" si="1">SUM(G7*0.2)</f>
        <v>629.5</v>
      </c>
      <c r="K7"/>
    </row>
    <row r="8" spans="1:11" x14ac:dyDescent="0.25">
      <c r="A8" s="10" t="s">
        <v>53</v>
      </c>
      <c r="B8" s="11">
        <v>8</v>
      </c>
      <c r="C8" s="15">
        <v>28000</v>
      </c>
      <c r="D8" s="12">
        <v>0.15</v>
      </c>
      <c r="E8" s="32">
        <f>SUM(E15*D8)</f>
        <v>18525</v>
      </c>
      <c r="F8" s="14">
        <v>6</v>
      </c>
      <c r="G8" s="15">
        <f t="shared" si="0"/>
        <v>1579.1666666666667</v>
      </c>
      <c r="H8" s="157">
        <f t="shared" si="1"/>
        <v>315.83333333333337</v>
      </c>
      <c r="K8"/>
    </row>
    <row r="9" spans="1:11" x14ac:dyDescent="0.25">
      <c r="A9" s="10" t="s">
        <v>61</v>
      </c>
      <c r="B9" s="11">
        <v>1</v>
      </c>
      <c r="C9" s="15">
        <v>1855</v>
      </c>
      <c r="D9" s="12">
        <v>0</v>
      </c>
      <c r="E9" s="32">
        <f t="shared" ref="E9:E14" si="2">SUM(E18*D9)</f>
        <v>0</v>
      </c>
      <c r="F9" s="14">
        <v>1</v>
      </c>
      <c r="G9" s="15">
        <f t="shared" si="0"/>
        <v>1855</v>
      </c>
      <c r="H9" s="157">
        <f t="shared" si="1"/>
        <v>371</v>
      </c>
      <c r="K9"/>
    </row>
    <row r="10" spans="1:11" x14ac:dyDescent="0.25">
      <c r="A10" s="10" t="s">
        <v>62</v>
      </c>
      <c r="B10" s="11">
        <v>20</v>
      </c>
      <c r="C10" s="15">
        <v>6000</v>
      </c>
      <c r="D10" s="12">
        <v>7.5999999999999998E-2</v>
      </c>
      <c r="E10" s="32">
        <f>E15*D10</f>
        <v>9386</v>
      </c>
      <c r="F10" s="14">
        <v>2</v>
      </c>
      <c r="G10" s="15">
        <f t="shared" si="0"/>
        <v>-1693</v>
      </c>
      <c r="H10" s="157">
        <f t="shared" si="1"/>
        <v>-338.6</v>
      </c>
      <c r="K10"/>
    </row>
    <row r="11" spans="1:11" x14ac:dyDescent="0.25">
      <c r="A11" s="10" t="s">
        <v>63</v>
      </c>
      <c r="B11" s="11">
        <v>1</v>
      </c>
      <c r="C11" s="15">
        <v>3060</v>
      </c>
      <c r="D11" s="12">
        <v>0</v>
      </c>
      <c r="E11" s="32">
        <f>SUM(E15*D11)</f>
        <v>0</v>
      </c>
      <c r="F11" s="14">
        <v>1</v>
      </c>
      <c r="G11" s="15">
        <f t="shared" si="0"/>
        <v>3060</v>
      </c>
      <c r="H11" s="157">
        <f t="shared" si="1"/>
        <v>612</v>
      </c>
      <c r="K11"/>
    </row>
    <row r="12" spans="1:11" x14ac:dyDescent="0.25">
      <c r="A12" s="10" t="s">
        <v>64</v>
      </c>
      <c r="B12" s="11">
        <v>5</v>
      </c>
      <c r="C12" s="15">
        <v>48000</v>
      </c>
      <c r="D12" s="12">
        <v>0.13</v>
      </c>
      <c r="E12" s="32">
        <f>SUM(E15*D12)</f>
        <v>16055</v>
      </c>
      <c r="F12" s="14">
        <v>1</v>
      </c>
      <c r="G12" s="15">
        <f t="shared" si="0"/>
        <v>31945</v>
      </c>
      <c r="H12" s="157">
        <f t="shared" si="1"/>
        <v>6389</v>
      </c>
      <c r="K12"/>
    </row>
    <row r="13" spans="1:11" x14ac:dyDescent="0.25">
      <c r="A13" s="10" t="s">
        <v>54</v>
      </c>
      <c r="B13" s="11">
        <v>20</v>
      </c>
      <c r="C13" s="15">
        <v>300000</v>
      </c>
      <c r="D13" s="12">
        <v>0.41</v>
      </c>
      <c r="E13" s="32">
        <f>SUM(E15*D13)</f>
        <v>50635</v>
      </c>
      <c r="F13" s="14">
        <v>8</v>
      </c>
      <c r="G13" s="15">
        <f t="shared" si="0"/>
        <v>31170.625</v>
      </c>
      <c r="H13" s="157">
        <f t="shared" si="1"/>
        <v>6234.125</v>
      </c>
      <c r="K13"/>
    </row>
    <row r="14" spans="1:11" x14ac:dyDescent="0.25">
      <c r="A14" s="10" t="s">
        <v>65</v>
      </c>
      <c r="B14" s="11">
        <v>5</v>
      </c>
      <c r="C14" s="15">
        <v>4000</v>
      </c>
      <c r="D14" s="12">
        <v>0</v>
      </c>
      <c r="E14" s="32">
        <f t="shared" si="2"/>
        <v>0</v>
      </c>
      <c r="F14" s="14">
        <v>2</v>
      </c>
      <c r="G14" s="15">
        <f>(C14-E14)/F14</f>
        <v>2000</v>
      </c>
      <c r="H14" s="157">
        <f t="shared" si="1"/>
        <v>400</v>
      </c>
      <c r="K14"/>
    </row>
    <row r="15" spans="1:11" ht="13.8" thickBot="1" x14ac:dyDescent="0.3">
      <c r="A15" s="17" t="s">
        <v>55</v>
      </c>
      <c r="B15" s="18"/>
      <c r="C15" s="19">
        <f>SUM(C6:C14)</f>
        <v>427984</v>
      </c>
      <c r="D15" s="20">
        <f>SUM(D6:D14)</f>
        <v>0.97599999999999998</v>
      </c>
      <c r="E15" s="19">
        <v>123500</v>
      </c>
      <c r="F15" s="19"/>
      <c r="G15" s="19">
        <f>SUM(G6:G14)</f>
        <v>75483.791666666672</v>
      </c>
      <c r="H15" s="55">
        <f>SUM(H6:H14)</f>
        <v>15096.758333333333</v>
      </c>
      <c r="K15"/>
    </row>
    <row r="17" spans="1:15" x14ac:dyDescent="0.25">
      <c r="G17" s="31"/>
      <c r="J17" s="31"/>
    </row>
    <row r="18" spans="1:15" ht="16.2" thickBot="1" x14ac:dyDescent="0.35">
      <c r="A18" s="221" t="s">
        <v>1</v>
      </c>
      <c r="B18" s="222"/>
      <c r="C18" s="222"/>
      <c r="D18" s="222"/>
      <c r="E18" s="222"/>
      <c r="F18" s="222"/>
      <c r="G18" s="222"/>
      <c r="H18" s="3"/>
      <c r="I18" s="31"/>
      <c r="J18" s="31"/>
      <c r="K18" s="4"/>
    </row>
    <row r="19" spans="1:15" ht="100.5" customHeight="1" x14ac:dyDescent="0.25">
      <c r="A19" s="145" t="s">
        <v>56</v>
      </c>
      <c r="B19" s="146" t="s">
        <v>57</v>
      </c>
      <c r="C19" s="147" t="s">
        <v>112</v>
      </c>
      <c r="D19" s="148" t="s">
        <v>149</v>
      </c>
      <c r="E19" s="148" t="s">
        <v>68</v>
      </c>
      <c r="F19" s="148" t="s">
        <v>150</v>
      </c>
      <c r="G19" s="149" t="s">
        <v>148</v>
      </c>
      <c r="H19" s="4"/>
      <c r="K19"/>
    </row>
    <row r="20" spans="1:15" ht="18.75" customHeight="1" x14ac:dyDescent="0.25">
      <c r="A20" s="150" t="s">
        <v>101</v>
      </c>
      <c r="B20" s="98">
        <v>3.49E-2</v>
      </c>
      <c r="C20" s="134">
        <f>SUM('budget 2019'!C48)</f>
        <v>302.1525666666667</v>
      </c>
      <c r="D20" s="100">
        <f>SUM(G15*B20/12)</f>
        <v>219.53202743055556</v>
      </c>
      <c r="E20" s="134">
        <f>SUM(C20+D20)</f>
        <v>521.68459409722232</v>
      </c>
      <c r="F20" s="134">
        <v>43.906405486111112</v>
      </c>
      <c r="G20" s="151">
        <f>SUM(C20+F20)</f>
        <v>346.05897215277781</v>
      </c>
      <c r="H20" s="144"/>
      <c r="I20" s="83"/>
      <c r="K20"/>
    </row>
    <row r="21" spans="1:15" ht="45" x14ac:dyDescent="0.25">
      <c r="A21" s="150" t="s">
        <v>102</v>
      </c>
      <c r="B21" s="98">
        <v>3.8600000000000002E-2</v>
      </c>
      <c r="C21" s="134">
        <f>SUM('budget 2019'!C49)</f>
        <v>334.18593333333337</v>
      </c>
      <c r="D21" s="100">
        <f>SUM(G15*B21/12)</f>
        <v>242.80619652777781</v>
      </c>
      <c r="E21" s="134">
        <f>SUM(C21+D21)</f>
        <v>576.99212986111115</v>
      </c>
      <c r="F21" s="134">
        <v>48.561239305555553</v>
      </c>
      <c r="G21" s="151">
        <f>SUM(C21+F21)</f>
        <v>382.74717263888891</v>
      </c>
      <c r="H21" s="144"/>
      <c r="I21" s="83"/>
      <c r="K21"/>
    </row>
    <row r="22" spans="1:15" ht="28.5" customHeight="1" thickBot="1" x14ac:dyDescent="0.3">
      <c r="A22" s="152" t="s">
        <v>103</v>
      </c>
      <c r="B22" s="153">
        <v>4.1399999999999999E-2</v>
      </c>
      <c r="C22" s="154">
        <f>SUM('budget 2019'!C50)</f>
        <v>358.42739999999998</v>
      </c>
      <c r="D22" s="155">
        <f>SUM(G15*B22/12)</f>
        <v>260.41908125000003</v>
      </c>
      <c r="E22" s="154">
        <f>SUM(C22+D22)</f>
        <v>618.84648125000001</v>
      </c>
      <c r="F22" s="154">
        <v>52.083816250000005</v>
      </c>
      <c r="G22" s="156">
        <f>C22+F22</f>
        <v>410.51121624999996</v>
      </c>
      <c r="H22" s="144"/>
      <c r="I22" s="83"/>
      <c r="K22"/>
    </row>
    <row r="23" spans="1:15" x14ac:dyDescent="0.25">
      <c r="G23" s="31"/>
      <c r="H23" s="31"/>
    </row>
    <row r="24" spans="1:15" ht="13.8" thickBot="1" x14ac:dyDescent="0.3"/>
    <row r="25" spans="1:15" ht="12.75" customHeight="1" x14ac:dyDescent="0.25">
      <c r="A25" s="176" t="s">
        <v>42</v>
      </c>
      <c r="B25" s="177"/>
      <c r="C25" s="177"/>
      <c r="D25" s="177"/>
      <c r="E25" s="177"/>
      <c r="F25" s="177"/>
      <c r="G25" s="177"/>
      <c r="H25" s="177"/>
      <c r="I25" s="178"/>
      <c r="J25" s="135"/>
    </row>
    <row r="26" spans="1:15" ht="13.8" thickBot="1" x14ac:dyDescent="0.3">
      <c r="A26" s="179"/>
      <c r="B26" s="180"/>
      <c r="C26" s="180"/>
      <c r="D26" s="180"/>
      <c r="E26" s="180"/>
      <c r="F26" s="180"/>
      <c r="G26" s="180"/>
      <c r="H26" s="180"/>
      <c r="I26" s="181"/>
      <c r="J26" s="135"/>
      <c r="O26" s="31"/>
    </row>
    <row r="27" spans="1:15" x14ac:dyDescent="0.25">
      <c r="O27" s="31"/>
    </row>
  </sheetData>
  <mergeCells count="3">
    <mergeCell ref="A2:H2"/>
    <mergeCell ref="A25:I26"/>
    <mergeCell ref="A18:G18"/>
  </mergeCells>
  <pageMargins left="0.75" right="0.2" top="1" bottom="1" header="0.5" footer="0.5"/>
  <pageSetup scale="59" orientation="landscape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2A14F7-98BA-6844-BB9A-44288AF2DB99}">
  <dimension ref="A1:H51"/>
  <sheetViews>
    <sheetView view="pageBreakPreview" topLeftCell="A19" zoomScale="60" zoomScaleNormal="100" workbookViewId="0">
      <selection sqref="A1:D1"/>
    </sheetView>
  </sheetViews>
  <sheetFormatPr defaultColWidth="8.77734375" defaultRowHeight="15" x14ac:dyDescent="0.25"/>
  <cols>
    <col min="1" max="1" width="36.44140625" style="62" customWidth="1"/>
    <col min="2" max="2" width="20.77734375" style="77" bestFit="1" customWidth="1"/>
    <col min="3" max="3" width="28.44140625" style="77" customWidth="1"/>
    <col min="4" max="4" width="25.44140625" style="77" customWidth="1"/>
    <col min="5" max="5" width="15.44140625" style="62" customWidth="1"/>
    <col min="6" max="6" width="8.77734375" style="62"/>
    <col min="7" max="7" width="9.44140625" style="62" customWidth="1"/>
    <col min="8" max="16384" width="8.77734375" style="62"/>
  </cols>
  <sheetData>
    <row r="1" spans="1:5" ht="66" customHeight="1" x14ac:dyDescent="0.25">
      <c r="A1" s="223" t="s">
        <v>155</v>
      </c>
      <c r="B1" s="224"/>
      <c r="C1" s="224"/>
      <c r="D1" s="224"/>
    </row>
    <row r="3" spans="1:5" ht="15.6" x14ac:dyDescent="0.3">
      <c r="B3" s="61" t="s">
        <v>107</v>
      </c>
      <c r="C3" s="61" t="s">
        <v>37</v>
      </c>
      <c r="D3" s="61" t="s">
        <v>72</v>
      </c>
      <c r="E3" s="60"/>
    </row>
    <row r="4" spans="1:5" ht="15.6" x14ac:dyDescent="0.3">
      <c r="A4" s="57" t="s">
        <v>0</v>
      </c>
      <c r="B4" s="61">
        <v>2019</v>
      </c>
      <c r="C4" s="61">
        <v>2019</v>
      </c>
      <c r="D4" s="61">
        <v>2020</v>
      </c>
      <c r="E4" s="63"/>
    </row>
    <row r="5" spans="1:5" x14ac:dyDescent="0.25">
      <c r="A5" s="62" t="s">
        <v>1</v>
      </c>
      <c r="B5" s="64">
        <f>SUM(B45)</f>
        <v>103892</v>
      </c>
      <c r="C5" s="64">
        <v>107000</v>
      </c>
      <c r="D5" s="64">
        <f>D45-D6</f>
        <v>111747</v>
      </c>
      <c r="E5" s="65"/>
    </row>
    <row r="6" spans="1:5" ht="15.6" thickBot="1" x14ac:dyDescent="0.3">
      <c r="A6" s="62" t="s">
        <v>2</v>
      </c>
      <c r="B6" s="66">
        <v>400</v>
      </c>
      <c r="C6" s="66">
        <v>1000</v>
      </c>
      <c r="D6" s="66">
        <v>1000</v>
      </c>
      <c r="E6" s="65"/>
    </row>
    <row r="7" spans="1:5" ht="16.2" thickTop="1" x14ac:dyDescent="0.3">
      <c r="A7" s="67" t="s">
        <v>108</v>
      </c>
      <c r="B7" s="69">
        <f>SUM(B5:B6)</f>
        <v>104292</v>
      </c>
      <c r="C7" s="158">
        <f>SUM(C5:C6)</f>
        <v>108000</v>
      </c>
      <c r="D7" s="68">
        <f>SUM(D5:D6)</f>
        <v>112747</v>
      </c>
      <c r="E7" s="65"/>
    </row>
    <row r="8" spans="1:5" ht="15.6" x14ac:dyDescent="0.3">
      <c r="A8" s="57" t="s">
        <v>4</v>
      </c>
      <c r="B8" s="64"/>
      <c r="C8" s="64"/>
      <c r="D8" s="64"/>
      <c r="E8" s="65"/>
    </row>
    <row r="9" spans="1:5" ht="15.6" x14ac:dyDescent="0.3">
      <c r="A9" s="57" t="s">
        <v>5</v>
      </c>
      <c r="B9" s="64"/>
      <c r="C9" s="64"/>
      <c r="D9" s="64"/>
      <c r="E9" s="65"/>
    </row>
    <row r="10" spans="1:5" x14ac:dyDescent="0.25">
      <c r="A10" s="62" t="s">
        <v>38</v>
      </c>
      <c r="B10" s="64">
        <v>0</v>
      </c>
      <c r="C10" s="64">
        <v>10000</v>
      </c>
      <c r="D10" s="64">
        <v>5000</v>
      </c>
      <c r="E10" s="65"/>
    </row>
    <row r="11" spans="1:5" x14ac:dyDescent="0.25">
      <c r="A11" s="62" t="s">
        <v>7</v>
      </c>
      <c r="B11" s="64">
        <v>62</v>
      </c>
      <c r="C11" s="64">
        <v>61.25</v>
      </c>
      <c r="D11" s="64">
        <v>62</v>
      </c>
      <c r="E11" s="65"/>
    </row>
    <row r="12" spans="1:5" x14ac:dyDescent="0.25">
      <c r="A12" s="62" t="s">
        <v>82</v>
      </c>
      <c r="B12" s="64">
        <v>1000</v>
      </c>
      <c r="C12" s="64">
        <v>1500</v>
      </c>
      <c r="D12" s="64">
        <v>1000</v>
      </c>
      <c r="E12" s="65"/>
    </row>
    <row r="13" spans="1:5" x14ac:dyDescent="0.25">
      <c r="A13" s="62" t="s">
        <v>8</v>
      </c>
      <c r="B13" s="64">
        <v>200</v>
      </c>
      <c r="C13" s="64">
        <v>300</v>
      </c>
      <c r="D13" s="64">
        <v>300</v>
      </c>
      <c r="E13" s="65"/>
    </row>
    <row r="14" spans="1:5" x14ac:dyDescent="0.25">
      <c r="A14" s="62" t="s">
        <v>11</v>
      </c>
      <c r="B14" s="64">
        <v>150</v>
      </c>
      <c r="C14" s="64">
        <v>60</v>
      </c>
      <c r="D14" s="64">
        <v>60</v>
      </c>
      <c r="E14" s="65"/>
    </row>
    <row r="15" spans="1:5" x14ac:dyDescent="0.25">
      <c r="A15" s="62" t="s">
        <v>31</v>
      </c>
      <c r="B15" s="64">
        <v>280</v>
      </c>
      <c r="C15" s="64">
        <v>280</v>
      </c>
      <c r="D15" s="64">
        <v>300</v>
      </c>
      <c r="E15" s="65"/>
    </row>
    <row r="16" spans="1:5" ht="15.6" thickBot="1" x14ac:dyDescent="0.3">
      <c r="A16" s="62" t="s">
        <v>12</v>
      </c>
      <c r="B16" s="70">
        <v>100</v>
      </c>
      <c r="C16" s="70">
        <v>175</v>
      </c>
      <c r="D16" s="70">
        <v>175</v>
      </c>
      <c r="E16" s="65"/>
    </row>
    <row r="17" spans="1:5" ht="15.6" x14ac:dyDescent="0.3">
      <c r="A17" s="57" t="s">
        <v>13</v>
      </c>
      <c r="B17" s="71">
        <f>SUM(B10:B16)</f>
        <v>1792</v>
      </c>
      <c r="C17" s="71">
        <f>SUM(C10:C16)</f>
        <v>12376.25</v>
      </c>
      <c r="D17" s="71">
        <f>SUM(D10:D16)</f>
        <v>6897</v>
      </c>
      <c r="E17" s="65"/>
    </row>
    <row r="18" spans="1:5" x14ac:dyDescent="0.25">
      <c r="B18" s="64"/>
      <c r="C18" s="64"/>
      <c r="D18" s="64"/>
      <c r="E18" s="65"/>
    </row>
    <row r="19" spans="1:5" ht="15.6" x14ac:dyDescent="0.3">
      <c r="A19" s="57" t="s">
        <v>14</v>
      </c>
      <c r="B19" s="64"/>
      <c r="C19" s="64"/>
      <c r="D19" s="64"/>
      <c r="E19" s="65"/>
    </row>
    <row r="20" spans="1:5" x14ac:dyDescent="0.25">
      <c r="A20" s="62" t="s">
        <v>15</v>
      </c>
      <c r="B20" s="64">
        <v>18000</v>
      </c>
      <c r="C20" s="64">
        <v>17500</v>
      </c>
      <c r="D20" s="64">
        <v>18000</v>
      </c>
      <c r="E20" s="65"/>
    </row>
    <row r="21" spans="1:5" x14ac:dyDescent="0.25">
      <c r="A21" s="62" t="s">
        <v>16</v>
      </c>
      <c r="B21" s="64">
        <v>200</v>
      </c>
      <c r="C21" s="64">
        <v>400</v>
      </c>
      <c r="D21" s="64">
        <v>200</v>
      </c>
      <c r="E21" s="65"/>
    </row>
    <row r="22" spans="1:5" x14ac:dyDescent="0.25">
      <c r="A22" s="62" t="s">
        <v>17</v>
      </c>
      <c r="B22" s="64">
        <v>700</v>
      </c>
      <c r="C22" s="64">
        <v>2000</v>
      </c>
      <c r="D22" s="64">
        <v>2000</v>
      </c>
      <c r="E22" s="65"/>
    </row>
    <row r="23" spans="1:5" x14ac:dyDescent="0.25">
      <c r="A23" s="62" t="s">
        <v>18</v>
      </c>
      <c r="B23" s="64">
        <v>4800</v>
      </c>
      <c r="C23" s="64">
        <f>475*12</f>
        <v>5700</v>
      </c>
      <c r="D23" s="64">
        <v>5700</v>
      </c>
      <c r="E23" s="65"/>
    </row>
    <row r="24" spans="1:5" x14ac:dyDescent="0.25">
      <c r="A24" s="62" t="s">
        <v>19</v>
      </c>
      <c r="B24" s="64">
        <v>4800</v>
      </c>
      <c r="C24" s="64">
        <v>4800</v>
      </c>
      <c r="D24" s="64">
        <v>4800</v>
      </c>
      <c r="E24" s="65"/>
    </row>
    <row r="25" spans="1:5" ht="15.6" thickBot="1" x14ac:dyDescent="0.3">
      <c r="A25" s="62" t="s">
        <v>20</v>
      </c>
      <c r="B25" s="70">
        <v>2600</v>
      </c>
      <c r="C25" s="70">
        <v>2730</v>
      </c>
      <c r="D25" s="70">
        <v>2600</v>
      </c>
      <c r="E25" s="65"/>
    </row>
    <row r="26" spans="1:5" ht="15.6" x14ac:dyDescent="0.3">
      <c r="A26" s="57" t="s">
        <v>21</v>
      </c>
      <c r="B26" s="71">
        <f>SUM(B20:B25)</f>
        <v>31100</v>
      </c>
      <c r="C26" s="71">
        <f>SUM(C20:C25)</f>
        <v>33130</v>
      </c>
      <c r="D26" s="71">
        <f>SUM(D20:D25)</f>
        <v>33300</v>
      </c>
      <c r="E26" s="65"/>
    </row>
    <row r="27" spans="1:5" x14ac:dyDescent="0.25">
      <c r="B27" s="64"/>
      <c r="C27" s="64"/>
      <c r="D27" s="64"/>
      <c r="E27" s="65"/>
    </row>
    <row r="28" spans="1:5" ht="15.6" x14ac:dyDescent="0.3">
      <c r="A28" s="57" t="s">
        <v>22</v>
      </c>
      <c r="B28" s="71">
        <v>30400</v>
      </c>
      <c r="C28" s="71">
        <f>15910*2</f>
        <v>31820</v>
      </c>
      <c r="D28" s="71">
        <v>32000</v>
      </c>
      <c r="E28" s="65"/>
    </row>
    <row r="29" spans="1:5" x14ac:dyDescent="0.25">
      <c r="B29" s="64"/>
      <c r="C29" s="64"/>
      <c r="D29" s="64"/>
      <c r="E29" s="65"/>
    </row>
    <row r="30" spans="1:5" ht="15.6" x14ac:dyDescent="0.3">
      <c r="A30" s="57" t="s">
        <v>23</v>
      </c>
      <c r="B30" s="64"/>
      <c r="C30" s="64"/>
      <c r="D30" s="64"/>
      <c r="E30" s="65"/>
    </row>
    <row r="31" spans="1:5" x14ac:dyDescent="0.25">
      <c r="A31" s="62" t="s">
        <v>26</v>
      </c>
      <c r="B31" s="64">
        <v>7400</v>
      </c>
      <c r="C31" s="64">
        <v>6500</v>
      </c>
      <c r="D31" s="64">
        <v>6500</v>
      </c>
      <c r="E31" s="65"/>
    </row>
    <row r="32" spans="1:5" x14ac:dyDescent="0.25">
      <c r="A32" s="62" t="s">
        <v>27</v>
      </c>
      <c r="B32" s="64">
        <v>8500</v>
      </c>
      <c r="C32" s="64">
        <v>9418</v>
      </c>
      <c r="D32" s="64">
        <v>9500</v>
      </c>
      <c r="E32" s="65"/>
    </row>
    <row r="33" spans="1:8" x14ac:dyDescent="0.25">
      <c r="A33" s="62" t="s">
        <v>28</v>
      </c>
      <c r="B33" s="64">
        <v>2500</v>
      </c>
      <c r="C33" s="64">
        <v>2550</v>
      </c>
      <c r="D33" s="64">
        <v>2550</v>
      </c>
      <c r="E33" s="65"/>
    </row>
    <row r="34" spans="1:8" x14ac:dyDescent="0.25">
      <c r="A34" s="62" t="s">
        <v>88</v>
      </c>
      <c r="B34" s="64">
        <v>300</v>
      </c>
      <c r="C34" s="64">
        <v>300</v>
      </c>
      <c r="D34" s="64">
        <v>300</v>
      </c>
      <c r="E34" s="65"/>
    </row>
    <row r="35" spans="1:8" ht="15.6" thickBot="1" x14ac:dyDescent="0.3">
      <c r="A35" s="62" t="s">
        <v>29</v>
      </c>
      <c r="B35" s="70">
        <v>2500</v>
      </c>
      <c r="C35" s="70">
        <v>8500</v>
      </c>
      <c r="D35" s="70">
        <v>3000</v>
      </c>
      <c r="E35" s="65"/>
    </row>
    <row r="36" spans="1:8" ht="15.6" x14ac:dyDescent="0.3">
      <c r="A36" s="57" t="s">
        <v>30</v>
      </c>
      <c r="B36" s="71">
        <f>SUM(B31:B35)</f>
        <v>21200</v>
      </c>
      <c r="C36" s="71">
        <f>SUM(C31:C35)</f>
        <v>27268</v>
      </c>
      <c r="D36" s="71">
        <f>SUM(D31:D35)</f>
        <v>21850</v>
      </c>
      <c r="E36" s="65"/>
    </row>
    <row r="37" spans="1:8" x14ac:dyDescent="0.25">
      <c r="B37" s="64"/>
      <c r="C37" s="64"/>
      <c r="D37" s="64"/>
      <c r="E37" s="65"/>
    </row>
    <row r="38" spans="1:8" ht="15.6" x14ac:dyDescent="0.3">
      <c r="A38" s="57" t="s">
        <v>32</v>
      </c>
      <c r="B38" s="64"/>
      <c r="C38" s="64"/>
      <c r="D38" s="64"/>
      <c r="E38" s="65"/>
    </row>
    <row r="39" spans="1:8" x14ac:dyDescent="0.25">
      <c r="A39" s="62" t="s">
        <v>33</v>
      </c>
      <c r="B39" s="64">
        <v>2400</v>
      </c>
      <c r="C39" s="64">
        <v>1650</v>
      </c>
      <c r="D39" s="64">
        <v>1700</v>
      </c>
      <c r="E39" s="65"/>
    </row>
    <row r="40" spans="1:8" ht="15.6" thickBot="1" x14ac:dyDescent="0.3">
      <c r="A40" s="62" t="s">
        <v>34</v>
      </c>
      <c r="B40" s="70">
        <v>17000</v>
      </c>
      <c r="C40" s="70">
        <v>16000</v>
      </c>
      <c r="D40" s="70">
        <v>17000</v>
      </c>
      <c r="E40" s="65"/>
    </row>
    <row r="41" spans="1:8" ht="15.6" x14ac:dyDescent="0.3">
      <c r="A41" s="57" t="s">
        <v>35</v>
      </c>
      <c r="B41" s="71">
        <f>SUM(B39:B40)</f>
        <v>19400</v>
      </c>
      <c r="C41" s="71">
        <f>SUM(C39:C40)</f>
        <v>17650</v>
      </c>
      <c r="D41" s="71">
        <f>SUM(D39:D40)</f>
        <v>18700</v>
      </c>
      <c r="E41" s="65"/>
    </row>
    <row r="42" spans="1:8" x14ac:dyDescent="0.25">
      <c r="B42" s="64"/>
      <c r="C42" s="64"/>
      <c r="D42" s="64"/>
      <c r="E42" s="65"/>
    </row>
    <row r="43" spans="1:8" ht="15.6" x14ac:dyDescent="0.3">
      <c r="A43" s="57" t="s">
        <v>151</v>
      </c>
      <c r="B43" s="71">
        <f>SUM('reserves 2019'!F15)</f>
        <v>0</v>
      </c>
      <c r="C43" s="71">
        <f>917.25*12</f>
        <v>11007</v>
      </c>
      <c r="D43" s="71"/>
      <c r="E43" s="65"/>
    </row>
    <row r="44" spans="1:8" ht="16.2" thickBot="1" x14ac:dyDescent="0.35">
      <c r="A44" s="57" t="s">
        <v>70</v>
      </c>
      <c r="B44" s="72">
        <f>SUM('reserves 2019'!E15)</f>
        <v>123500</v>
      </c>
      <c r="C44" s="70">
        <v>0</v>
      </c>
      <c r="D44" s="72"/>
      <c r="E44" s="65"/>
      <c r="G44" s="71"/>
    </row>
    <row r="45" spans="1:8" ht="15.6" x14ac:dyDescent="0.3">
      <c r="A45" s="57" t="s">
        <v>83</v>
      </c>
      <c r="B45" s="68">
        <f>B41+B36+B28+B26+B17</f>
        <v>103892</v>
      </c>
      <c r="C45" s="68">
        <f>SUM(C41+C36+C28+C26+C17)</f>
        <v>122244.25</v>
      </c>
      <c r="D45" s="68">
        <f>D41+D36+D28+D26+D17</f>
        <v>112747</v>
      </c>
      <c r="E45" s="73"/>
    </row>
    <row r="46" spans="1:8" x14ac:dyDescent="0.25">
      <c r="B46" s="77">
        <v>20400</v>
      </c>
    </row>
    <row r="47" spans="1:8" ht="33.75" customHeight="1" x14ac:dyDescent="0.3">
      <c r="A47" s="106" t="s">
        <v>56</v>
      </c>
      <c r="B47" s="106"/>
      <c r="C47" s="107" t="s">
        <v>112</v>
      </c>
    </row>
    <row r="48" spans="1:8" ht="33.75" customHeight="1" x14ac:dyDescent="0.3">
      <c r="A48" s="108" t="s">
        <v>101</v>
      </c>
      <c r="B48" s="88">
        <v>3.49E-2</v>
      </c>
      <c r="C48" s="143">
        <f>SUM(D45*0.0349)/12</f>
        <v>327.90585833333336</v>
      </c>
      <c r="E48" s="81"/>
      <c r="H48" s="81"/>
    </row>
    <row r="49" spans="1:5" ht="33.75" customHeight="1" x14ac:dyDescent="0.3">
      <c r="A49" s="110" t="s">
        <v>102</v>
      </c>
      <c r="B49" s="88">
        <v>3.8600000000000002E-2</v>
      </c>
      <c r="C49" s="143">
        <f>SUM(D45*0.0386)/12</f>
        <v>362.66951666666665</v>
      </c>
      <c r="E49" s="81"/>
    </row>
    <row r="50" spans="1:5" ht="33.75" customHeight="1" x14ac:dyDescent="0.3">
      <c r="A50" s="108" t="s">
        <v>103</v>
      </c>
      <c r="B50" s="88">
        <v>4.1399999999999999E-2</v>
      </c>
      <c r="C50" s="143">
        <f>SUM(D45*0.0414)/12</f>
        <v>388.97714999999999</v>
      </c>
      <c r="E50" s="81"/>
    </row>
    <row r="51" spans="1:5" x14ac:dyDescent="0.25">
      <c r="E51" s="81"/>
    </row>
  </sheetData>
  <mergeCells count="1">
    <mergeCell ref="A1:D1"/>
  </mergeCells>
  <pageMargins left="0.25" right="0.28999999999999998" top="0.91" bottom="1" header="0.4" footer="0.5"/>
  <pageSetup scale="60" orientation="portrait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3E8AEC-1823-9843-BC95-A8E8F204898E}">
  <dimension ref="A1:O27"/>
  <sheetViews>
    <sheetView workbookViewId="0">
      <selection activeCell="H18" sqref="H18"/>
    </sheetView>
  </sheetViews>
  <sheetFormatPr defaultColWidth="8.77734375" defaultRowHeight="13.2" x14ac:dyDescent="0.25"/>
  <cols>
    <col min="1" max="1" width="36.44140625" customWidth="1"/>
    <col min="2" max="2" width="13.77734375" customWidth="1"/>
    <col min="3" max="3" width="24.44140625" customWidth="1"/>
    <col min="4" max="4" width="19.21875" customWidth="1"/>
    <col min="5" max="5" width="23.44140625" customWidth="1"/>
    <col min="6" max="6" width="13.44140625" customWidth="1"/>
    <col min="7" max="8" width="19.77734375" customWidth="1"/>
    <col min="9" max="10" width="20.21875" customWidth="1"/>
    <col min="11" max="11" width="20.21875" style="3" customWidth="1"/>
    <col min="15" max="15" width="10.44140625" customWidth="1"/>
  </cols>
  <sheetData>
    <row r="1" spans="1:11" ht="13.8" thickBot="1" x14ac:dyDescent="0.3"/>
    <row r="2" spans="1:11" ht="38.25" customHeight="1" x14ac:dyDescent="0.3">
      <c r="A2" s="225" t="s">
        <v>152</v>
      </c>
      <c r="B2" s="226"/>
      <c r="C2" s="226"/>
      <c r="D2" s="226"/>
      <c r="E2" s="226"/>
      <c r="F2" s="226"/>
      <c r="G2" s="226"/>
      <c r="H2" s="227"/>
      <c r="I2" s="57"/>
      <c r="J2" s="57"/>
      <c r="K2"/>
    </row>
    <row r="3" spans="1:11" x14ac:dyDescent="0.25">
      <c r="A3" s="10" t="s">
        <v>44</v>
      </c>
      <c r="B3" s="11" t="s">
        <v>45</v>
      </c>
      <c r="C3" s="11" t="s">
        <v>45</v>
      </c>
      <c r="D3" s="12" t="s">
        <v>46</v>
      </c>
      <c r="E3" s="11" t="s">
        <v>47</v>
      </c>
      <c r="F3" s="11" t="s">
        <v>48</v>
      </c>
      <c r="G3" s="93">
        <v>1</v>
      </c>
      <c r="H3" s="56">
        <v>0.1</v>
      </c>
      <c r="K3"/>
    </row>
    <row r="4" spans="1:11" x14ac:dyDescent="0.25">
      <c r="A4" s="10"/>
      <c r="B4" s="11" t="s">
        <v>49</v>
      </c>
      <c r="C4" s="11" t="s">
        <v>50</v>
      </c>
      <c r="D4" s="12" t="s">
        <v>51</v>
      </c>
      <c r="E4" s="11" t="s">
        <v>153</v>
      </c>
      <c r="F4" s="11" t="s">
        <v>52</v>
      </c>
      <c r="G4" s="11" t="s">
        <v>154</v>
      </c>
      <c r="H4" s="13" t="s">
        <v>154</v>
      </c>
      <c r="K4"/>
    </row>
    <row r="5" spans="1:11" x14ac:dyDescent="0.25">
      <c r="A5" s="10"/>
      <c r="B5" s="11"/>
      <c r="C5" s="11"/>
      <c r="D5" s="12"/>
      <c r="E5" s="11"/>
      <c r="F5" s="11"/>
      <c r="G5" s="11"/>
      <c r="H5" s="13"/>
      <c r="K5"/>
    </row>
    <row r="6" spans="1:11" x14ac:dyDescent="0.25">
      <c r="A6" s="10" t="s">
        <v>59</v>
      </c>
      <c r="B6" s="11">
        <v>9</v>
      </c>
      <c r="C6" s="15">
        <v>27069</v>
      </c>
      <c r="D6" s="11">
        <v>0.18</v>
      </c>
      <c r="E6" s="32">
        <f>SUM(E15*D6)</f>
        <v>23580</v>
      </c>
      <c r="F6" s="14">
        <v>1</v>
      </c>
      <c r="G6" s="15">
        <f>(C6-E6)/F6</f>
        <v>3489</v>
      </c>
      <c r="H6" s="157">
        <f t="shared" ref="H6:H14" si="0">SUM(G6*0.1)</f>
        <v>348.90000000000003</v>
      </c>
      <c r="K6"/>
    </row>
    <row r="7" spans="1:11" x14ac:dyDescent="0.25">
      <c r="A7" s="10" t="s">
        <v>60</v>
      </c>
      <c r="B7" s="11">
        <v>12</v>
      </c>
      <c r="C7" s="15">
        <v>10000</v>
      </c>
      <c r="D7" s="11">
        <v>0.03</v>
      </c>
      <c r="E7" s="32">
        <f>SUM(E15*D7)</f>
        <v>3930</v>
      </c>
      <c r="F7" s="14">
        <v>2</v>
      </c>
      <c r="G7" s="15">
        <f t="shared" ref="G7:G13" si="1">(C7-E7)/F7</f>
        <v>3035</v>
      </c>
      <c r="H7" s="157">
        <f t="shared" si="0"/>
        <v>303.5</v>
      </c>
      <c r="K7"/>
    </row>
    <row r="8" spans="1:11" x14ac:dyDescent="0.25">
      <c r="A8" s="10" t="s">
        <v>53</v>
      </c>
      <c r="B8" s="11">
        <v>8</v>
      </c>
      <c r="C8" s="15">
        <v>28000</v>
      </c>
      <c r="D8" s="11">
        <v>0.15</v>
      </c>
      <c r="E8" s="32">
        <f>SUM(E15*D8)</f>
        <v>19650</v>
      </c>
      <c r="F8" s="14">
        <v>5</v>
      </c>
      <c r="G8" s="15">
        <f t="shared" si="1"/>
        <v>1670</v>
      </c>
      <c r="H8" s="157">
        <f t="shared" si="0"/>
        <v>167</v>
      </c>
      <c r="K8"/>
    </row>
    <row r="9" spans="1:11" x14ac:dyDescent="0.25">
      <c r="A9" s="10" t="s">
        <v>61</v>
      </c>
      <c r="B9" s="11">
        <v>2</v>
      </c>
      <c r="C9" s="15">
        <v>1855</v>
      </c>
      <c r="D9" s="11">
        <v>0.01</v>
      </c>
      <c r="E9" s="32">
        <f>SUM(E15*D9)</f>
        <v>1310</v>
      </c>
      <c r="F9" s="14">
        <v>1</v>
      </c>
      <c r="G9" s="15">
        <f t="shared" si="1"/>
        <v>545</v>
      </c>
      <c r="H9" s="157">
        <f t="shared" si="0"/>
        <v>54.5</v>
      </c>
      <c r="K9"/>
    </row>
    <row r="10" spans="1:11" x14ac:dyDescent="0.25">
      <c r="A10" s="10" t="s">
        <v>62</v>
      </c>
      <c r="B10" s="11">
        <v>5</v>
      </c>
      <c r="C10" s="15">
        <v>7000</v>
      </c>
      <c r="D10" s="11">
        <v>7.0000000000000007E-2</v>
      </c>
      <c r="E10" s="32">
        <v>0</v>
      </c>
      <c r="F10" s="14">
        <v>5</v>
      </c>
      <c r="G10" s="15">
        <f t="shared" si="1"/>
        <v>1400</v>
      </c>
      <c r="H10" s="157">
        <f t="shared" si="0"/>
        <v>140</v>
      </c>
      <c r="K10"/>
    </row>
    <row r="11" spans="1:11" x14ac:dyDescent="0.25">
      <c r="A11" s="10" t="s">
        <v>63</v>
      </c>
      <c r="B11" s="11">
        <v>2</v>
      </c>
      <c r="C11" s="15">
        <v>3060</v>
      </c>
      <c r="D11" s="11">
        <v>0.01</v>
      </c>
      <c r="E11" s="32">
        <f>SUM(E15*D11)</f>
        <v>1310</v>
      </c>
      <c r="F11" s="14">
        <v>1</v>
      </c>
      <c r="G11" s="15">
        <f t="shared" si="1"/>
        <v>1750</v>
      </c>
      <c r="H11" s="157">
        <f t="shared" si="0"/>
        <v>175</v>
      </c>
      <c r="K11"/>
    </row>
    <row r="12" spans="1:11" x14ac:dyDescent="0.25">
      <c r="A12" s="10" t="s">
        <v>64</v>
      </c>
      <c r="B12" s="11">
        <v>5</v>
      </c>
      <c r="C12" s="15">
        <v>48000</v>
      </c>
      <c r="D12" s="11">
        <v>0.12</v>
      </c>
      <c r="E12" s="32">
        <f>SUM(E15*D12)</f>
        <v>15720</v>
      </c>
      <c r="F12" s="14">
        <v>1</v>
      </c>
      <c r="G12" s="15">
        <f t="shared" si="1"/>
        <v>32280</v>
      </c>
      <c r="H12" s="157">
        <f t="shared" si="0"/>
        <v>3228</v>
      </c>
      <c r="K12"/>
    </row>
    <row r="13" spans="1:11" x14ac:dyDescent="0.25">
      <c r="A13" s="10" t="s">
        <v>54</v>
      </c>
      <c r="B13" s="11">
        <v>20</v>
      </c>
      <c r="C13" s="15">
        <v>300000</v>
      </c>
      <c r="D13" s="11">
        <v>0.41</v>
      </c>
      <c r="E13" s="32">
        <f>SUM(E15*D13)</f>
        <v>53710</v>
      </c>
      <c r="F13" s="14">
        <v>7</v>
      </c>
      <c r="G13" s="15">
        <f t="shared" si="1"/>
        <v>35184.285714285717</v>
      </c>
      <c r="H13" s="157">
        <f t="shared" si="0"/>
        <v>3518.428571428572</v>
      </c>
      <c r="K13"/>
    </row>
    <row r="14" spans="1:11" x14ac:dyDescent="0.25">
      <c r="A14" s="10" t="s">
        <v>65</v>
      </c>
      <c r="B14" s="11">
        <v>5</v>
      </c>
      <c r="C14" s="15">
        <v>4000</v>
      </c>
      <c r="D14" s="11">
        <v>0.02</v>
      </c>
      <c r="E14" s="32">
        <f>SUM(E15*D14)</f>
        <v>2620</v>
      </c>
      <c r="F14" s="14">
        <v>1</v>
      </c>
      <c r="G14" s="15">
        <f>(C14-E14)/F14</f>
        <v>1380</v>
      </c>
      <c r="H14" s="157">
        <f t="shared" si="0"/>
        <v>138</v>
      </c>
      <c r="K14"/>
    </row>
    <row r="15" spans="1:11" ht="13.8" thickBot="1" x14ac:dyDescent="0.3">
      <c r="A15" s="17" t="s">
        <v>55</v>
      </c>
      <c r="B15" s="18"/>
      <c r="C15" s="19">
        <f>SUM(C6:C14)</f>
        <v>428984</v>
      </c>
      <c r="D15" s="20">
        <f>SUM(D6:D14)</f>
        <v>1</v>
      </c>
      <c r="E15" s="19">
        <v>131000</v>
      </c>
      <c r="F15" s="19"/>
      <c r="G15" s="19">
        <f>SUM(G6:G14)</f>
        <v>80733.28571428571</v>
      </c>
      <c r="H15" s="55">
        <f>SUM(H6:H14)</f>
        <v>8073.3285714285721</v>
      </c>
      <c r="K15"/>
    </row>
    <row r="17" spans="1:15" x14ac:dyDescent="0.25">
      <c r="G17" s="31"/>
      <c r="H17" s="31">
        <f>H15/12</f>
        <v>672.77738095238101</v>
      </c>
      <c r="J17" s="31"/>
    </row>
    <row r="18" spans="1:15" ht="24.75" customHeight="1" x14ac:dyDescent="0.25">
      <c r="A18" s="228" t="s">
        <v>1</v>
      </c>
      <c r="B18" s="228"/>
      <c r="C18" s="228"/>
      <c r="D18" s="228"/>
      <c r="E18" s="228"/>
      <c r="F18" s="228"/>
      <c r="G18" s="228"/>
      <c r="H18" s="3"/>
      <c r="I18" s="31"/>
      <c r="J18" s="31"/>
      <c r="K18" s="4"/>
    </row>
    <row r="19" spans="1:15" ht="100.5" customHeight="1" x14ac:dyDescent="0.25">
      <c r="A19" s="136" t="s">
        <v>56</v>
      </c>
      <c r="B19" s="136" t="s">
        <v>57</v>
      </c>
      <c r="C19" s="131" t="s">
        <v>112</v>
      </c>
      <c r="D19" s="137" t="s">
        <v>149</v>
      </c>
      <c r="E19" s="137" t="s">
        <v>68</v>
      </c>
      <c r="F19" s="137" t="s">
        <v>156</v>
      </c>
      <c r="G19" s="137" t="s">
        <v>157</v>
      </c>
      <c r="K19"/>
    </row>
    <row r="20" spans="1:15" ht="18.75" customHeight="1" x14ac:dyDescent="0.3">
      <c r="A20" s="97" t="s">
        <v>101</v>
      </c>
      <c r="B20" s="98">
        <v>3.49E-2</v>
      </c>
      <c r="C20" s="134">
        <f>'budget 2020'!C48</f>
        <v>327.90585833333336</v>
      </c>
      <c r="D20" s="100">
        <f>G15*B20/12</f>
        <v>234.79930595238093</v>
      </c>
      <c r="E20" s="134">
        <f>SUM(C20+D20)</f>
        <v>562.70516428571432</v>
      </c>
      <c r="F20" s="134">
        <f>SUM(H15*B20/12)</f>
        <v>23.479930595238098</v>
      </c>
      <c r="G20" s="59">
        <f>SUM(C20+F20)</f>
        <v>351.38578892857146</v>
      </c>
      <c r="K20"/>
    </row>
    <row r="21" spans="1:15" ht="45" x14ac:dyDescent="0.3">
      <c r="A21" s="97" t="s">
        <v>102</v>
      </c>
      <c r="B21" s="98">
        <v>3.8600000000000002E-2</v>
      </c>
      <c r="C21" s="134">
        <f>'budget 2020'!C49</f>
        <v>362.66951666666665</v>
      </c>
      <c r="D21" s="100">
        <f>G15*B21/12</f>
        <v>259.69206904761904</v>
      </c>
      <c r="E21" s="134">
        <f>SUM(C21+D21)</f>
        <v>622.36158571428564</v>
      </c>
      <c r="F21" s="134">
        <f>SUM(H15*B21/12)</f>
        <v>25.969206904761908</v>
      </c>
      <c r="G21" s="59">
        <f>SUM(C21+F21)</f>
        <v>388.63872357142856</v>
      </c>
      <c r="K21"/>
    </row>
    <row r="22" spans="1:15" ht="28.5" customHeight="1" x14ac:dyDescent="0.3">
      <c r="A22" s="97" t="s">
        <v>103</v>
      </c>
      <c r="B22" s="98">
        <v>4.1399999999999999E-2</v>
      </c>
      <c r="C22" s="134">
        <f>'budget 2020'!C50</f>
        <v>388.97714999999999</v>
      </c>
      <c r="D22" s="100">
        <f>G15*B22/12</f>
        <v>278.5298357142857</v>
      </c>
      <c r="E22" s="134">
        <f>SUM(C22+D22)</f>
        <v>667.50698571428575</v>
      </c>
      <c r="F22" s="134">
        <f>SUM(H15*B22/12)</f>
        <v>27.85298357142857</v>
      </c>
      <c r="G22" s="59">
        <f>SUM(C22+F22)</f>
        <v>416.83013357142858</v>
      </c>
      <c r="K22"/>
    </row>
    <row r="23" spans="1:15" x14ac:dyDescent="0.25">
      <c r="G23" s="31"/>
      <c r="H23" s="31"/>
    </row>
    <row r="25" spans="1:15" ht="12.75" customHeight="1" x14ac:dyDescent="0.25">
      <c r="A25" s="207" t="s">
        <v>42</v>
      </c>
      <c r="B25" s="207"/>
      <c r="C25" s="207"/>
      <c r="D25" s="207"/>
      <c r="E25" s="207"/>
      <c r="F25" s="207"/>
      <c r="G25" s="207"/>
      <c r="H25" s="207"/>
      <c r="I25" s="207"/>
      <c r="J25" s="135"/>
    </row>
    <row r="26" spans="1:15" ht="45.75" customHeight="1" x14ac:dyDescent="0.25">
      <c r="A26" s="207"/>
      <c r="B26" s="207"/>
      <c r="C26" s="207"/>
      <c r="D26" s="207"/>
      <c r="E26" s="207"/>
      <c r="F26" s="207"/>
      <c r="G26" s="207"/>
      <c r="H26" s="207"/>
      <c r="I26" s="207"/>
      <c r="J26" s="135"/>
      <c r="O26" s="31"/>
    </row>
    <row r="27" spans="1:15" x14ac:dyDescent="0.25">
      <c r="O27" s="31"/>
    </row>
  </sheetData>
  <mergeCells count="3">
    <mergeCell ref="A2:H2"/>
    <mergeCell ref="A18:G18"/>
    <mergeCell ref="A25:I26"/>
  </mergeCells>
  <pageMargins left="0.75" right="0.2" top="1" bottom="1" header="0.5" footer="0.5"/>
  <pageSetup scale="59" orientation="landscape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77D7B8-5384-4C2D-824E-63AD033792EC}">
  <dimension ref="A1:O28"/>
  <sheetViews>
    <sheetView zoomScale="75" workbookViewId="0">
      <selection activeCell="E21" sqref="E21"/>
    </sheetView>
  </sheetViews>
  <sheetFormatPr defaultColWidth="8.77734375" defaultRowHeight="13.2" x14ac:dyDescent="0.25"/>
  <cols>
    <col min="1" max="1" width="36.44140625" customWidth="1"/>
    <col min="2" max="2" width="13.77734375" customWidth="1"/>
    <col min="3" max="3" width="24.44140625" customWidth="1"/>
    <col min="4" max="4" width="19.21875" customWidth="1"/>
    <col min="5" max="5" width="23.44140625" customWidth="1"/>
    <col min="6" max="6" width="17" customWidth="1"/>
    <col min="7" max="8" width="19.77734375" customWidth="1"/>
    <col min="9" max="10" width="20.21875" customWidth="1"/>
    <col min="11" max="11" width="20.21875" style="3" customWidth="1"/>
    <col min="15" max="15" width="10.44140625" customWidth="1"/>
  </cols>
  <sheetData>
    <row r="1" spans="1:11" ht="13.8" thickBot="1" x14ac:dyDescent="0.3"/>
    <row r="2" spans="1:11" ht="38.25" customHeight="1" x14ac:dyDescent="0.3">
      <c r="A2" s="225" t="s">
        <v>158</v>
      </c>
      <c r="B2" s="226"/>
      <c r="C2" s="226"/>
      <c r="D2" s="226"/>
      <c r="E2" s="226"/>
      <c r="F2" s="226"/>
      <c r="G2" s="226"/>
      <c r="H2" s="227"/>
      <c r="I2" s="57"/>
      <c r="J2" s="57"/>
      <c r="K2"/>
    </row>
    <row r="3" spans="1:11" x14ac:dyDescent="0.25">
      <c r="A3" s="10" t="s">
        <v>44</v>
      </c>
      <c r="B3" s="11" t="s">
        <v>45</v>
      </c>
      <c r="C3" s="11" t="s">
        <v>45</v>
      </c>
      <c r="D3" s="12" t="s">
        <v>46</v>
      </c>
      <c r="E3" s="11" t="s">
        <v>47</v>
      </c>
      <c r="F3" s="11" t="s">
        <v>48</v>
      </c>
      <c r="G3" s="93">
        <v>1</v>
      </c>
      <c r="H3" s="56">
        <v>0.05</v>
      </c>
      <c r="K3"/>
    </row>
    <row r="4" spans="1:11" x14ac:dyDescent="0.25">
      <c r="A4" s="10"/>
      <c r="B4" s="11" t="s">
        <v>49</v>
      </c>
      <c r="C4" s="11" t="s">
        <v>50</v>
      </c>
      <c r="D4" s="12" t="s">
        <v>51</v>
      </c>
      <c r="E4" s="11" t="s">
        <v>160</v>
      </c>
      <c r="F4" s="11" t="s">
        <v>52</v>
      </c>
      <c r="G4" s="11" t="s">
        <v>159</v>
      </c>
      <c r="H4" s="13" t="s">
        <v>159</v>
      </c>
      <c r="K4"/>
    </row>
    <row r="5" spans="1:11" x14ac:dyDescent="0.25">
      <c r="A5" s="10"/>
      <c r="B5" s="11"/>
      <c r="C5" s="11"/>
      <c r="D5" s="12"/>
      <c r="E5" s="11"/>
      <c r="F5" s="11"/>
      <c r="G5" s="11"/>
      <c r="H5" s="13"/>
      <c r="K5"/>
    </row>
    <row r="6" spans="1:11" x14ac:dyDescent="0.25">
      <c r="A6" s="10" t="s">
        <v>59</v>
      </c>
      <c r="B6" s="11">
        <v>9</v>
      </c>
      <c r="C6" s="15">
        <v>27069</v>
      </c>
      <c r="D6" s="11">
        <v>0.13</v>
      </c>
      <c r="E6" s="32">
        <f>SUM(E16*D6)</f>
        <v>17030</v>
      </c>
      <c r="F6" s="14">
        <v>1</v>
      </c>
      <c r="G6" s="15">
        <f t="shared" ref="G6:G15" si="0">(C6-E6)/F6</f>
        <v>10039</v>
      </c>
      <c r="H6" s="157">
        <f>10039*0.05</f>
        <v>501.95000000000005</v>
      </c>
      <c r="K6"/>
    </row>
    <row r="7" spans="1:11" x14ac:dyDescent="0.25">
      <c r="A7" s="10" t="s">
        <v>60</v>
      </c>
      <c r="B7" s="11">
        <v>12</v>
      </c>
      <c r="C7" s="15">
        <v>10000</v>
      </c>
      <c r="D7" s="11">
        <v>0.03</v>
      </c>
      <c r="E7" s="32">
        <f>SUM(E16*D7)</f>
        <v>3930</v>
      </c>
      <c r="F7" s="14">
        <v>1</v>
      </c>
      <c r="G7" s="15">
        <f t="shared" si="0"/>
        <v>6070</v>
      </c>
      <c r="H7" s="157">
        <f>6070*0.05</f>
        <v>303.5</v>
      </c>
      <c r="K7"/>
    </row>
    <row r="8" spans="1:11" x14ac:dyDescent="0.25">
      <c r="A8" s="10" t="s">
        <v>53</v>
      </c>
      <c r="B8" s="11">
        <v>8</v>
      </c>
      <c r="C8" s="15">
        <v>28000</v>
      </c>
      <c r="D8" s="11">
        <v>0.15</v>
      </c>
      <c r="E8" s="32">
        <f>SUM(E16*D8)</f>
        <v>19650</v>
      </c>
      <c r="F8" s="14">
        <v>4</v>
      </c>
      <c r="G8" s="15">
        <f t="shared" si="0"/>
        <v>2087.5</v>
      </c>
      <c r="H8" s="157">
        <f>2087.5*0.05</f>
        <v>104.375</v>
      </c>
      <c r="K8"/>
    </row>
    <row r="9" spans="1:11" x14ac:dyDescent="0.25">
      <c r="A9" s="10" t="s">
        <v>61</v>
      </c>
      <c r="B9" s="11">
        <v>2</v>
      </c>
      <c r="C9" s="15">
        <v>1855</v>
      </c>
      <c r="D9" s="11">
        <v>0.01</v>
      </c>
      <c r="E9" s="32">
        <f>SUM(E16*D9)</f>
        <v>1310</v>
      </c>
      <c r="F9" s="14">
        <v>2</v>
      </c>
      <c r="G9" s="15">
        <f t="shared" si="0"/>
        <v>272.5</v>
      </c>
      <c r="H9" s="157">
        <f>272.5*0.05</f>
        <v>13.625</v>
      </c>
      <c r="K9"/>
    </row>
    <row r="10" spans="1:11" x14ac:dyDescent="0.25">
      <c r="A10" s="10" t="s">
        <v>162</v>
      </c>
      <c r="B10" s="11">
        <v>40</v>
      </c>
      <c r="C10" s="15">
        <v>45000</v>
      </c>
      <c r="D10" s="11">
        <v>0.05</v>
      </c>
      <c r="E10" s="32">
        <v>0</v>
      </c>
      <c r="F10" s="14">
        <v>2</v>
      </c>
      <c r="G10" s="15">
        <f t="shared" si="0"/>
        <v>22500</v>
      </c>
      <c r="H10" s="157">
        <f>22500*0.05</f>
        <v>1125</v>
      </c>
      <c r="K10"/>
    </row>
    <row r="11" spans="1:11" x14ac:dyDescent="0.25">
      <c r="A11" s="10" t="s">
        <v>62</v>
      </c>
      <c r="B11" s="11">
        <v>5</v>
      </c>
      <c r="C11" s="15">
        <v>7000</v>
      </c>
      <c r="D11" s="11">
        <v>7.0000000000000007E-2</v>
      </c>
      <c r="E11" s="32">
        <v>0</v>
      </c>
      <c r="F11" s="14">
        <v>4</v>
      </c>
      <c r="G11" s="15">
        <f t="shared" si="0"/>
        <v>1750</v>
      </c>
      <c r="H11" s="157">
        <f>1750*0.05</f>
        <v>87.5</v>
      </c>
      <c r="K11"/>
    </row>
    <row r="12" spans="1:11" x14ac:dyDescent="0.25">
      <c r="A12" s="10" t="s">
        <v>63</v>
      </c>
      <c r="B12" s="11">
        <v>2</v>
      </c>
      <c r="C12" s="15">
        <v>3060</v>
      </c>
      <c r="D12" s="11">
        <v>0.01</v>
      </c>
      <c r="E12" s="32">
        <f>SUM(E16*D12)</f>
        <v>1310</v>
      </c>
      <c r="F12" s="14">
        <v>2</v>
      </c>
      <c r="G12" s="15">
        <f t="shared" si="0"/>
        <v>875</v>
      </c>
      <c r="H12" s="157">
        <f>875*0.05</f>
        <v>43.75</v>
      </c>
      <c r="K12"/>
    </row>
    <row r="13" spans="1:11" x14ac:dyDescent="0.25">
      <c r="A13" s="10" t="s">
        <v>64</v>
      </c>
      <c r="B13" s="11">
        <v>5</v>
      </c>
      <c r="C13" s="15">
        <v>48000</v>
      </c>
      <c r="D13" s="11">
        <v>0.12</v>
      </c>
      <c r="E13" s="32">
        <f>SUM(E16*D13)</f>
        <v>15720</v>
      </c>
      <c r="F13" s="14">
        <v>2</v>
      </c>
      <c r="G13" s="15">
        <f t="shared" si="0"/>
        <v>16140</v>
      </c>
      <c r="H13" s="157">
        <f>16140*0.05</f>
        <v>807</v>
      </c>
      <c r="K13"/>
    </row>
    <row r="14" spans="1:11" x14ac:dyDescent="0.25">
      <c r="A14" s="10" t="s">
        <v>54</v>
      </c>
      <c r="B14" s="11">
        <v>20</v>
      </c>
      <c r="C14" s="15">
        <v>300000</v>
      </c>
      <c r="D14" s="11">
        <v>0.41</v>
      </c>
      <c r="E14" s="32">
        <f>SUM(E16*D14)</f>
        <v>53710</v>
      </c>
      <c r="F14" s="14">
        <v>5</v>
      </c>
      <c r="G14" s="15">
        <f t="shared" si="0"/>
        <v>49258</v>
      </c>
      <c r="H14" s="157">
        <f>49258*0.05</f>
        <v>2462.9</v>
      </c>
      <c r="K14"/>
    </row>
    <row r="15" spans="1:11" x14ac:dyDescent="0.25">
      <c r="A15" s="10" t="s">
        <v>65</v>
      </c>
      <c r="B15" s="11">
        <v>5</v>
      </c>
      <c r="C15" s="15">
        <v>4000</v>
      </c>
      <c r="D15" s="11">
        <v>0.02</v>
      </c>
      <c r="E15" s="32">
        <f>SUM(E16*D15)</f>
        <v>2620</v>
      </c>
      <c r="F15" s="14">
        <v>2</v>
      </c>
      <c r="G15" s="15">
        <f t="shared" si="0"/>
        <v>690</v>
      </c>
      <c r="H15" s="157">
        <f>690*0.05</f>
        <v>34.5</v>
      </c>
      <c r="K15"/>
    </row>
    <row r="16" spans="1:11" ht="13.8" thickBot="1" x14ac:dyDescent="0.3">
      <c r="A16" s="17" t="s">
        <v>55</v>
      </c>
      <c r="B16" s="18"/>
      <c r="C16" s="19">
        <f>SUM(C6:C15)</f>
        <v>473984</v>
      </c>
      <c r="D16" s="20">
        <f>SUM(D6:D15)</f>
        <v>1</v>
      </c>
      <c r="E16" s="19">
        <v>131000</v>
      </c>
      <c r="F16" s="19"/>
      <c r="G16" s="19">
        <f>SUM(G6:G15)</f>
        <v>109682</v>
      </c>
      <c r="H16" s="55">
        <f>SUM(H6:H15)</f>
        <v>5484.1</v>
      </c>
      <c r="K16"/>
    </row>
    <row r="18" spans="1:15" x14ac:dyDescent="0.25">
      <c r="G18" s="31"/>
      <c r="H18" s="31"/>
      <c r="J18" s="31"/>
    </row>
    <row r="19" spans="1:15" ht="24.75" customHeight="1" x14ac:dyDescent="0.25">
      <c r="A19" s="228" t="s">
        <v>1</v>
      </c>
      <c r="B19" s="228"/>
      <c r="C19" s="228"/>
      <c r="D19" s="228"/>
      <c r="E19" s="228"/>
      <c r="F19" s="228"/>
      <c r="G19" s="228"/>
      <c r="H19" s="3"/>
      <c r="I19" s="31">
        <f>H16/12</f>
        <v>457.00833333333338</v>
      </c>
      <c r="J19" s="31"/>
      <c r="K19" s="4"/>
    </row>
    <row r="20" spans="1:15" ht="100.5" customHeight="1" x14ac:dyDescent="0.25">
      <c r="A20" s="136" t="s">
        <v>56</v>
      </c>
      <c r="B20" s="136" t="s">
        <v>57</v>
      </c>
      <c r="C20" s="131" t="s">
        <v>112</v>
      </c>
      <c r="D20" s="137" t="s">
        <v>149</v>
      </c>
      <c r="E20" s="137" t="s">
        <v>68</v>
      </c>
      <c r="F20" s="137" t="s">
        <v>164</v>
      </c>
      <c r="G20" s="137" t="s">
        <v>163</v>
      </c>
      <c r="H20" s="46"/>
      <c r="K20"/>
    </row>
    <row r="21" spans="1:15" ht="18.75" customHeight="1" x14ac:dyDescent="0.3">
      <c r="A21" s="97" t="s">
        <v>101</v>
      </c>
      <c r="B21" s="98">
        <v>3.49E-2</v>
      </c>
      <c r="C21" s="134">
        <f>'[1]budget 2021'!C46</f>
        <v>345.07375000000002</v>
      </c>
      <c r="D21" s="100">
        <f>G16*B21/12</f>
        <v>318.99181666666669</v>
      </c>
      <c r="E21" s="134">
        <f>SUM(C21+D21)</f>
        <v>664.06556666666665</v>
      </c>
      <c r="F21" s="134">
        <f>SUM(H16*B21)/12</f>
        <v>15.949590833333334</v>
      </c>
      <c r="G21" s="59">
        <v>361.02334083333335</v>
      </c>
      <c r="H21" s="31"/>
      <c r="I21" s="160"/>
      <c r="K21"/>
    </row>
    <row r="22" spans="1:15" ht="45" x14ac:dyDescent="0.3">
      <c r="A22" s="97" t="s">
        <v>102</v>
      </c>
      <c r="B22" s="98">
        <v>3.8600000000000002E-2</v>
      </c>
      <c r="C22" s="134">
        <f>'[1]budget 2021'!C47</f>
        <v>381.65750000000003</v>
      </c>
      <c r="D22" s="100">
        <f>G16*B22/12</f>
        <v>352.81043333333332</v>
      </c>
      <c r="E22" s="134">
        <f>SUM(C22+D22)</f>
        <v>734.46793333333335</v>
      </c>
      <c r="F22" s="134">
        <f>SUM(H16*B22)/12</f>
        <v>17.640521666666668</v>
      </c>
      <c r="G22" s="59">
        <v>399.29802166666667</v>
      </c>
      <c r="H22" s="31"/>
      <c r="I22" s="160"/>
      <c r="K22"/>
    </row>
    <row r="23" spans="1:15" ht="28.5" customHeight="1" x14ac:dyDescent="0.3">
      <c r="A23" s="97" t="s">
        <v>103</v>
      </c>
      <c r="B23" s="98">
        <v>4.1399999999999999E-2</v>
      </c>
      <c r="C23" s="134">
        <f>'[1]budget 2021'!C48</f>
        <v>409.34249999999997</v>
      </c>
      <c r="D23" s="100">
        <f>G16*B23/12</f>
        <v>378.40289999999999</v>
      </c>
      <c r="E23" s="134">
        <f>SUM(C23+D23)</f>
        <v>787.74540000000002</v>
      </c>
      <c r="F23" s="134">
        <f>SUM(H16*B23)/12</f>
        <v>18.920145000000002</v>
      </c>
      <c r="G23" s="59">
        <v>428.26264499999996</v>
      </c>
      <c r="H23" s="31"/>
      <c r="I23" s="160"/>
      <c r="K23"/>
    </row>
    <row r="24" spans="1:15" x14ac:dyDescent="0.25">
      <c r="G24" s="31"/>
      <c r="H24" s="31"/>
    </row>
    <row r="26" spans="1:15" ht="12.75" customHeight="1" x14ac:dyDescent="0.25">
      <c r="A26" s="207" t="s">
        <v>42</v>
      </c>
      <c r="B26" s="207"/>
      <c r="C26" s="207"/>
      <c r="D26" s="207"/>
      <c r="E26" s="207"/>
      <c r="F26" s="207"/>
      <c r="G26" s="207"/>
      <c r="H26" s="207"/>
      <c r="I26" s="207"/>
      <c r="J26" s="135"/>
    </row>
    <row r="27" spans="1:15" ht="45.75" customHeight="1" x14ac:dyDescent="0.25">
      <c r="A27" s="207"/>
      <c r="B27" s="207"/>
      <c r="C27" s="207"/>
      <c r="D27" s="207"/>
      <c r="E27" s="207"/>
      <c r="F27" s="207"/>
      <c r="G27" s="207"/>
      <c r="H27" s="207"/>
      <c r="I27" s="207"/>
      <c r="J27" s="135"/>
      <c r="O27" s="31"/>
    </row>
    <row r="28" spans="1:15" x14ac:dyDescent="0.25">
      <c r="O28" s="31"/>
    </row>
  </sheetData>
  <mergeCells count="3">
    <mergeCell ref="A2:H2"/>
    <mergeCell ref="A19:G19"/>
    <mergeCell ref="A26:I27"/>
  </mergeCells>
  <pageMargins left="0.75" right="0.2" top="1" bottom="1" header="0.5" footer="0.5"/>
  <pageSetup scale="59" orientation="landscape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B57505-53A9-734F-9AA1-85AF450F6692}">
  <dimension ref="A1:H50"/>
  <sheetViews>
    <sheetView view="pageBreakPreview" topLeftCell="A2" zoomScale="109" zoomScaleNormal="100" workbookViewId="0">
      <selection activeCell="D18" sqref="D18"/>
    </sheetView>
  </sheetViews>
  <sheetFormatPr defaultColWidth="8.77734375" defaultRowHeight="15" x14ac:dyDescent="0.25"/>
  <cols>
    <col min="1" max="1" width="36.44140625" style="62" customWidth="1"/>
    <col min="2" max="2" width="20.77734375" style="77" bestFit="1" customWidth="1"/>
    <col min="3" max="3" width="28.44140625" style="77" customWidth="1"/>
    <col min="4" max="4" width="25.44140625" style="77" customWidth="1"/>
    <col min="5" max="5" width="15.44140625" style="62" customWidth="1"/>
    <col min="6" max="6" width="8.77734375" style="62"/>
    <col min="7" max="7" width="9.44140625" style="62" customWidth="1"/>
    <col min="8" max="16384" width="8.77734375" style="62"/>
  </cols>
  <sheetData>
    <row r="1" spans="1:5" ht="66" customHeight="1" x14ac:dyDescent="0.25">
      <c r="A1" s="223" t="s">
        <v>165</v>
      </c>
      <c r="B1" s="224"/>
      <c r="C1" s="224"/>
      <c r="D1" s="224"/>
    </row>
    <row r="3" spans="1:5" ht="15.6" x14ac:dyDescent="0.3">
      <c r="B3" s="61" t="s">
        <v>107</v>
      </c>
      <c r="C3" s="61" t="s">
        <v>37</v>
      </c>
      <c r="D3" s="61" t="s">
        <v>107</v>
      </c>
      <c r="E3" s="60"/>
    </row>
    <row r="4" spans="1:5" ht="15.6" x14ac:dyDescent="0.3">
      <c r="A4" s="57" t="s">
        <v>0</v>
      </c>
      <c r="B4" s="61">
        <v>2021</v>
      </c>
      <c r="C4" s="61">
        <v>2021</v>
      </c>
      <c r="D4" s="61">
        <v>2022</v>
      </c>
      <c r="E4" s="63"/>
    </row>
    <row r="5" spans="1:5" x14ac:dyDescent="0.25">
      <c r="A5" s="62" t="s">
        <v>1</v>
      </c>
      <c r="B5" s="64">
        <v>117650</v>
      </c>
      <c r="C5" s="64">
        <v>109000</v>
      </c>
      <c r="D5" s="64">
        <f>D44-D6</f>
        <v>118010</v>
      </c>
      <c r="E5" s="65"/>
    </row>
    <row r="6" spans="1:5" ht="15.6" thickBot="1" x14ac:dyDescent="0.3">
      <c r="A6" s="62" t="s">
        <v>2</v>
      </c>
      <c r="B6" s="66">
        <v>1000</v>
      </c>
      <c r="C6" s="66">
        <v>1000</v>
      </c>
      <c r="D6" s="66">
        <v>1000</v>
      </c>
      <c r="E6" s="65"/>
    </row>
    <row r="7" spans="1:5" ht="16.2" thickTop="1" x14ac:dyDescent="0.3">
      <c r="A7" s="67" t="s">
        <v>108</v>
      </c>
      <c r="B7" s="68">
        <f>SUM(B5:B6)</f>
        <v>118650</v>
      </c>
      <c r="C7" s="158">
        <f>SUM(C5:C6)</f>
        <v>110000</v>
      </c>
      <c r="D7" s="68">
        <f>SUM(D5:D6)</f>
        <v>119010</v>
      </c>
      <c r="E7" s="65"/>
    </row>
    <row r="8" spans="1:5" ht="15.6" x14ac:dyDescent="0.3">
      <c r="A8" s="57" t="s">
        <v>4</v>
      </c>
      <c r="B8" s="64"/>
      <c r="C8" s="64"/>
      <c r="D8" s="64"/>
      <c r="E8" s="65"/>
    </row>
    <row r="9" spans="1:5" ht="15.6" x14ac:dyDescent="0.3">
      <c r="A9" s="57" t="s">
        <v>5</v>
      </c>
      <c r="B9" s="64"/>
      <c r="C9" s="64"/>
      <c r="D9" s="64"/>
      <c r="E9" s="65"/>
    </row>
    <row r="10" spans="1:5" x14ac:dyDescent="0.25">
      <c r="A10" s="62" t="s">
        <v>38</v>
      </c>
      <c r="B10" s="64">
        <v>5000</v>
      </c>
      <c r="C10" s="64">
        <f>400*12</f>
        <v>4800</v>
      </c>
      <c r="D10" s="64">
        <v>0</v>
      </c>
      <c r="E10" s="65"/>
    </row>
    <row r="11" spans="1:5" x14ac:dyDescent="0.25">
      <c r="A11" s="62" t="s">
        <v>7</v>
      </c>
      <c r="B11" s="64">
        <v>400</v>
      </c>
      <c r="C11" s="64">
        <v>250</v>
      </c>
      <c r="D11" s="64">
        <v>250</v>
      </c>
      <c r="E11" s="65"/>
    </row>
    <row r="12" spans="1:5" x14ac:dyDescent="0.25">
      <c r="A12" s="62" t="s">
        <v>82</v>
      </c>
      <c r="B12" s="64">
        <v>1500</v>
      </c>
      <c r="C12" s="64">
        <v>1000</v>
      </c>
      <c r="D12" s="64">
        <v>1000</v>
      </c>
      <c r="E12" s="65"/>
    </row>
    <row r="13" spans="1:5" x14ac:dyDescent="0.25">
      <c r="A13" s="62" t="s">
        <v>8</v>
      </c>
      <c r="B13" s="64">
        <v>150</v>
      </c>
      <c r="C13" s="64">
        <v>300</v>
      </c>
      <c r="D13" s="64">
        <v>300</v>
      </c>
      <c r="E13" s="65"/>
    </row>
    <row r="14" spans="1:5" x14ac:dyDescent="0.25">
      <c r="A14" s="62" t="s">
        <v>11</v>
      </c>
      <c r="B14" s="64">
        <v>80</v>
      </c>
      <c r="C14" s="64">
        <v>150</v>
      </c>
      <c r="D14" s="64">
        <v>100</v>
      </c>
      <c r="E14" s="65"/>
    </row>
    <row r="15" spans="1:5" x14ac:dyDescent="0.25">
      <c r="A15" s="62" t="s">
        <v>31</v>
      </c>
      <c r="B15" s="64">
        <v>320</v>
      </c>
      <c r="C15" s="64">
        <v>320</v>
      </c>
      <c r="D15" s="64">
        <v>320</v>
      </c>
      <c r="E15" s="65"/>
    </row>
    <row r="16" spans="1:5" ht="15.6" thickBot="1" x14ac:dyDescent="0.3">
      <c r="A16" s="62" t="s">
        <v>12</v>
      </c>
      <c r="B16" s="70">
        <v>100</v>
      </c>
      <c r="C16" s="70">
        <v>120</v>
      </c>
      <c r="D16" s="70">
        <v>100</v>
      </c>
      <c r="E16" s="65"/>
    </row>
    <row r="17" spans="1:7" ht="15.6" x14ac:dyDescent="0.3">
      <c r="A17" s="57" t="s">
        <v>13</v>
      </c>
      <c r="B17" s="71">
        <f>SUM(B10:B16)</f>
        <v>7550</v>
      </c>
      <c r="C17" s="71">
        <f>SUM(C10:C16)</f>
        <v>6940</v>
      </c>
      <c r="D17" s="71">
        <f>SUM(D10:D16)</f>
        <v>2070</v>
      </c>
      <c r="E17" s="65"/>
    </row>
    <row r="18" spans="1:7" x14ac:dyDescent="0.25">
      <c r="B18" s="64"/>
      <c r="C18" s="64"/>
      <c r="D18" s="64"/>
      <c r="E18" s="65"/>
    </row>
    <row r="19" spans="1:7" ht="15.6" x14ac:dyDescent="0.3">
      <c r="A19" s="57" t="s">
        <v>14</v>
      </c>
      <c r="B19" s="64"/>
      <c r="C19" s="64"/>
      <c r="D19" s="64"/>
      <c r="E19" s="65"/>
    </row>
    <row r="20" spans="1:7" x14ac:dyDescent="0.25">
      <c r="A20" s="62" t="s">
        <v>15</v>
      </c>
      <c r="B20" s="64">
        <v>20000</v>
      </c>
      <c r="C20" s="64">
        <v>21000</v>
      </c>
      <c r="D20" s="64">
        <v>22000</v>
      </c>
      <c r="E20" s="65"/>
    </row>
    <row r="21" spans="1:7" x14ac:dyDescent="0.25">
      <c r="A21" s="62" t="s">
        <v>17</v>
      </c>
      <c r="B21" s="64">
        <v>2000</v>
      </c>
      <c r="C21" s="64">
        <v>2300</v>
      </c>
      <c r="D21" s="64">
        <v>2000</v>
      </c>
      <c r="E21" s="65"/>
    </row>
    <row r="22" spans="1:7" x14ac:dyDescent="0.25">
      <c r="A22" s="62" t="s">
        <v>18</v>
      </c>
      <c r="B22" s="64">
        <v>5700</v>
      </c>
      <c r="C22" s="64">
        <v>6100</v>
      </c>
      <c r="D22" s="64">
        <v>6100</v>
      </c>
      <c r="E22" s="65"/>
    </row>
    <row r="23" spans="1:7" x14ac:dyDescent="0.25">
      <c r="A23" s="62" t="s">
        <v>19</v>
      </c>
      <c r="B23" s="64">
        <v>4800</v>
      </c>
      <c r="C23" s="64">
        <f>450*12</f>
        <v>5400</v>
      </c>
      <c r="D23" s="64">
        <v>5400</v>
      </c>
      <c r="E23" s="65"/>
      <c r="G23" s="62">
        <f>475*12</f>
        <v>5700</v>
      </c>
    </row>
    <row r="24" spans="1:7" ht="15.6" thickBot="1" x14ac:dyDescent="0.3">
      <c r="A24" s="62" t="s">
        <v>20</v>
      </c>
      <c r="B24" s="70">
        <v>2300</v>
      </c>
      <c r="C24" s="70">
        <v>5200</v>
      </c>
      <c r="D24" s="70">
        <f>120*12</f>
        <v>1440</v>
      </c>
      <c r="E24" s="65"/>
    </row>
    <row r="25" spans="1:7" ht="15.6" x14ac:dyDescent="0.3">
      <c r="A25" s="57" t="s">
        <v>21</v>
      </c>
      <c r="B25" s="71">
        <f>SUM(B20:B24)</f>
        <v>34800</v>
      </c>
      <c r="C25" s="71">
        <f>SUM(C20:C24)</f>
        <v>40000</v>
      </c>
      <c r="D25" s="71">
        <f>SUM(D20:D24)</f>
        <v>36940</v>
      </c>
      <c r="E25" s="65"/>
    </row>
    <row r="26" spans="1:7" x14ac:dyDescent="0.25">
      <c r="B26" s="64"/>
      <c r="C26" s="64"/>
      <c r="D26" s="64"/>
      <c r="E26" s="65"/>
    </row>
    <row r="27" spans="1:7" ht="15.6" x14ac:dyDescent="0.3">
      <c r="A27" s="57" t="s">
        <v>22</v>
      </c>
      <c r="B27" s="71">
        <v>40000</v>
      </c>
      <c r="C27" s="71">
        <v>43000</v>
      </c>
      <c r="D27" s="71">
        <v>43000</v>
      </c>
      <c r="E27" s="65"/>
    </row>
    <row r="28" spans="1:7" x14ac:dyDescent="0.25">
      <c r="B28" s="64"/>
      <c r="C28" s="64"/>
      <c r="D28" s="64"/>
      <c r="E28" s="65"/>
    </row>
    <row r="29" spans="1:7" ht="15.6" x14ac:dyDescent="0.3">
      <c r="A29" s="57" t="s">
        <v>23</v>
      </c>
      <c r="B29" s="64"/>
      <c r="C29" s="64"/>
      <c r="D29" s="64"/>
      <c r="E29" s="65"/>
    </row>
    <row r="30" spans="1:7" x14ac:dyDescent="0.25">
      <c r="A30" s="62" t="s">
        <v>26</v>
      </c>
      <c r="B30" s="64">
        <v>5000</v>
      </c>
      <c r="C30" s="64">
        <f>525*12</f>
        <v>6300</v>
      </c>
      <c r="D30" s="64">
        <v>6300</v>
      </c>
      <c r="E30" s="65"/>
    </row>
    <row r="31" spans="1:7" x14ac:dyDescent="0.25">
      <c r="A31" s="62" t="s">
        <v>27</v>
      </c>
      <c r="B31" s="64">
        <v>10000</v>
      </c>
      <c r="C31" s="64">
        <f>800*12</f>
        <v>9600</v>
      </c>
      <c r="D31" s="64">
        <v>10000</v>
      </c>
      <c r="E31" s="65"/>
    </row>
    <row r="32" spans="1:7" x14ac:dyDescent="0.25">
      <c r="A32" s="62" t="s">
        <v>28</v>
      </c>
      <c r="B32" s="64">
        <v>2600</v>
      </c>
      <c r="C32" s="64">
        <v>0</v>
      </c>
      <c r="D32" s="64">
        <v>2600</v>
      </c>
      <c r="E32" s="65"/>
    </row>
    <row r="33" spans="1:8" x14ac:dyDescent="0.25">
      <c r="A33" s="62" t="s">
        <v>169</v>
      </c>
      <c r="B33" s="64">
        <v>0</v>
      </c>
      <c r="C33" s="64">
        <v>14000</v>
      </c>
      <c r="D33" s="64">
        <v>0</v>
      </c>
      <c r="E33" s="65" t="s">
        <v>170</v>
      </c>
    </row>
    <row r="34" spans="1:8" ht="15.6" thickBot="1" x14ac:dyDescent="0.3">
      <c r="A34" s="62" t="s">
        <v>29</v>
      </c>
      <c r="B34" s="70">
        <v>3000</v>
      </c>
      <c r="C34" s="70">
        <v>3000</v>
      </c>
      <c r="D34" s="70">
        <v>3000</v>
      </c>
      <c r="E34" s="65"/>
    </row>
    <row r="35" spans="1:8" ht="15.6" x14ac:dyDescent="0.3">
      <c r="A35" s="57" t="s">
        <v>30</v>
      </c>
      <c r="B35" s="71">
        <f>SUM(B30:B34)</f>
        <v>20600</v>
      </c>
      <c r="C35" s="71">
        <f>SUM(C30:C34)</f>
        <v>32900</v>
      </c>
      <c r="D35" s="71">
        <f>SUM(D30:D34)</f>
        <v>21900</v>
      </c>
      <c r="E35" s="65"/>
    </row>
    <row r="36" spans="1:8" x14ac:dyDescent="0.25">
      <c r="B36" s="64"/>
      <c r="C36" s="64"/>
      <c r="D36" s="64"/>
      <c r="E36" s="65"/>
    </row>
    <row r="37" spans="1:8" ht="15.6" x14ac:dyDescent="0.3">
      <c r="A37" s="57" t="s">
        <v>32</v>
      </c>
      <c r="B37" s="64"/>
      <c r="C37" s="64"/>
      <c r="D37" s="64"/>
      <c r="E37" s="65"/>
    </row>
    <row r="38" spans="1:8" x14ac:dyDescent="0.25">
      <c r="A38" s="62" t="s">
        <v>33</v>
      </c>
      <c r="B38" s="64">
        <v>700</v>
      </c>
      <c r="C38" s="64">
        <v>1600</v>
      </c>
      <c r="D38" s="64">
        <f>125*12</f>
        <v>1500</v>
      </c>
      <c r="E38" s="65"/>
    </row>
    <row r="39" spans="1:8" ht="15.6" thickBot="1" x14ac:dyDescent="0.3">
      <c r="A39" s="62" t="s">
        <v>34</v>
      </c>
      <c r="B39" s="70">
        <v>15000</v>
      </c>
      <c r="C39" s="70">
        <v>13400</v>
      </c>
      <c r="D39" s="70">
        <v>13600</v>
      </c>
      <c r="E39" s="65"/>
    </row>
    <row r="40" spans="1:8" ht="15.6" x14ac:dyDescent="0.3">
      <c r="A40" s="57" t="s">
        <v>35</v>
      </c>
      <c r="B40" s="71">
        <f>SUM(B38:B39)</f>
        <v>15700</v>
      </c>
      <c r="C40" s="71">
        <f>SUM(C38:C39)</f>
        <v>15000</v>
      </c>
      <c r="D40" s="71">
        <f>SUM(D38:D39)</f>
        <v>15100</v>
      </c>
      <c r="E40" s="65"/>
    </row>
    <row r="41" spans="1:8" x14ac:dyDescent="0.25">
      <c r="B41" s="64"/>
      <c r="C41" s="64"/>
      <c r="D41" s="64"/>
      <c r="E41" s="65"/>
    </row>
    <row r="42" spans="1:8" ht="15.6" x14ac:dyDescent="0.3">
      <c r="A42" s="57" t="s">
        <v>151</v>
      </c>
      <c r="B42" s="71"/>
      <c r="C42" s="71">
        <f>917.25*12</f>
        <v>11007</v>
      </c>
      <c r="D42" s="71"/>
      <c r="E42" s="65"/>
    </row>
    <row r="43" spans="1:8" ht="16.2" thickBot="1" x14ac:dyDescent="0.35">
      <c r="A43" s="57" t="s">
        <v>70</v>
      </c>
      <c r="B43" s="72"/>
      <c r="C43" s="70">
        <v>0</v>
      </c>
      <c r="D43" s="72"/>
      <c r="E43" s="65"/>
      <c r="G43" s="71"/>
    </row>
    <row r="44" spans="1:8" ht="15.6" x14ac:dyDescent="0.3">
      <c r="A44" s="57" t="s">
        <v>83</v>
      </c>
      <c r="B44" s="68">
        <f>B40+B35+B27+B25+B17</f>
        <v>118650</v>
      </c>
      <c r="C44" s="68">
        <f>SUM(C40+C35+C27+C25+C17)</f>
        <v>137840</v>
      </c>
      <c r="D44" s="68">
        <f>D40+D35+D27+D25+D17</f>
        <v>119010</v>
      </c>
      <c r="E44" s="73"/>
    </row>
    <row r="45" spans="1:8" x14ac:dyDescent="0.25">
      <c r="B45" s="77">
        <v>20400</v>
      </c>
    </row>
    <row r="46" spans="1:8" ht="33.75" customHeight="1" x14ac:dyDescent="0.3">
      <c r="A46" s="106" t="s">
        <v>56</v>
      </c>
      <c r="B46" s="106"/>
      <c r="C46" s="107" t="s">
        <v>112</v>
      </c>
      <c r="E46" s="62" t="s">
        <v>161</v>
      </c>
    </row>
    <row r="47" spans="1:8" ht="33.75" customHeight="1" x14ac:dyDescent="0.3">
      <c r="A47" s="108" t="s">
        <v>101</v>
      </c>
      <c r="B47" s="88">
        <v>3.49E-2</v>
      </c>
      <c r="C47" s="143">
        <f>SUM(D44*0.0349)/12</f>
        <v>346.12074999999999</v>
      </c>
      <c r="D47" s="159">
        <f>C47*4*12</f>
        <v>16613.795999999998</v>
      </c>
      <c r="E47" s="81"/>
      <c r="H47" s="81"/>
    </row>
    <row r="48" spans="1:8" ht="68.55" customHeight="1" x14ac:dyDescent="0.3">
      <c r="A48" s="110" t="s">
        <v>102</v>
      </c>
      <c r="B48" s="88">
        <v>3.8600000000000002E-2</v>
      </c>
      <c r="C48" s="143">
        <f>SUM(D44*0.0386)/12</f>
        <v>382.81549999999999</v>
      </c>
      <c r="D48" s="159">
        <f>18*C48*12</f>
        <v>82688.148000000001</v>
      </c>
      <c r="E48" s="81"/>
    </row>
    <row r="49" spans="1:5" ht="33.75" customHeight="1" x14ac:dyDescent="0.3">
      <c r="A49" s="108" t="s">
        <v>103</v>
      </c>
      <c r="B49" s="88">
        <v>4.1399999999999999E-2</v>
      </c>
      <c r="C49" s="143">
        <f>SUM(D44*0.0414)/12</f>
        <v>410.58449999999999</v>
      </c>
      <c r="D49" s="159">
        <f>C49*4*12</f>
        <v>19708.056</v>
      </c>
      <c r="E49" s="81"/>
    </row>
    <row r="50" spans="1:5" ht="15.6" x14ac:dyDescent="0.3">
      <c r="D50" s="71">
        <f>D47+D48+D49</f>
        <v>119010</v>
      </c>
      <c r="E50" s="81"/>
    </row>
  </sheetData>
  <mergeCells count="1">
    <mergeCell ref="A1:D1"/>
  </mergeCells>
  <pageMargins left="0.25" right="0.28999999999999998" top="0.91" bottom="1" header="0.4" footer="0.5"/>
  <pageSetup scale="60" orientation="portrait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E592D2-E280-6947-BFBD-7EF8EEE069A3}">
  <dimension ref="A1:O28"/>
  <sheetViews>
    <sheetView zoomScale="90" zoomScaleNormal="90" workbookViewId="0">
      <selection activeCell="I20" sqref="I20"/>
    </sheetView>
  </sheetViews>
  <sheetFormatPr defaultColWidth="8.77734375" defaultRowHeight="13.2" x14ac:dyDescent="0.25"/>
  <cols>
    <col min="1" max="1" width="36.44140625" customWidth="1"/>
    <col min="2" max="2" width="13.77734375" customWidth="1"/>
    <col min="3" max="3" width="24.44140625" customWidth="1"/>
    <col min="4" max="4" width="19.21875" customWidth="1"/>
    <col min="5" max="5" width="23.44140625" customWidth="1"/>
    <col min="6" max="6" width="17" customWidth="1"/>
    <col min="7" max="8" width="19.77734375" customWidth="1"/>
    <col min="9" max="10" width="20.21875" customWidth="1"/>
    <col min="11" max="11" width="20.21875" style="3" customWidth="1"/>
    <col min="15" max="15" width="10.44140625" customWidth="1"/>
  </cols>
  <sheetData>
    <row r="1" spans="1:11" ht="13.8" thickBot="1" x14ac:dyDescent="0.3"/>
    <row r="2" spans="1:11" ht="38.25" customHeight="1" x14ac:dyDescent="0.3">
      <c r="A2" s="225" t="s">
        <v>166</v>
      </c>
      <c r="B2" s="226"/>
      <c r="C2" s="226"/>
      <c r="D2" s="226"/>
      <c r="E2" s="226"/>
      <c r="F2" s="226"/>
      <c r="G2" s="226"/>
      <c r="H2" s="227"/>
      <c r="I2" s="57"/>
      <c r="J2" s="57"/>
      <c r="K2"/>
    </row>
    <row r="3" spans="1:11" x14ac:dyDescent="0.25">
      <c r="A3" s="10" t="s">
        <v>44</v>
      </c>
      <c r="B3" s="11" t="s">
        <v>45</v>
      </c>
      <c r="C3" s="11" t="s">
        <v>45</v>
      </c>
      <c r="D3" s="12" t="s">
        <v>46</v>
      </c>
      <c r="E3" s="11" t="s">
        <v>47</v>
      </c>
      <c r="F3" s="11" t="s">
        <v>48</v>
      </c>
      <c r="G3" s="93">
        <v>1</v>
      </c>
      <c r="H3" s="56">
        <v>0.05</v>
      </c>
      <c r="K3"/>
    </row>
    <row r="4" spans="1:11" x14ac:dyDescent="0.25">
      <c r="A4" s="10"/>
      <c r="B4" s="11" t="s">
        <v>49</v>
      </c>
      <c r="C4" s="11" t="s">
        <v>50</v>
      </c>
      <c r="D4" s="12" t="s">
        <v>51</v>
      </c>
      <c r="E4" s="11" t="s">
        <v>167</v>
      </c>
      <c r="F4" s="11" t="s">
        <v>52</v>
      </c>
      <c r="G4" s="11" t="s">
        <v>168</v>
      </c>
      <c r="H4" s="13" t="s">
        <v>168</v>
      </c>
      <c r="K4"/>
    </row>
    <row r="5" spans="1:11" x14ac:dyDescent="0.25">
      <c r="A5" s="10"/>
      <c r="B5" s="11"/>
      <c r="C5" s="11"/>
      <c r="D5" s="12"/>
      <c r="E5" s="11"/>
      <c r="F5" s="11"/>
      <c r="G5" s="11"/>
      <c r="H5" s="13"/>
      <c r="K5"/>
    </row>
    <row r="6" spans="1:11" x14ac:dyDescent="0.25">
      <c r="A6" s="10" t="s">
        <v>59</v>
      </c>
      <c r="B6" s="11">
        <v>9</v>
      </c>
      <c r="C6" s="15">
        <v>27069</v>
      </c>
      <c r="D6" s="11">
        <v>0.13</v>
      </c>
      <c r="E6" s="32">
        <f>SUM(E16*D6)</f>
        <v>17030</v>
      </c>
      <c r="F6" s="14">
        <v>1</v>
      </c>
      <c r="G6" s="15">
        <f>(C6-E6)/F6</f>
        <v>10039</v>
      </c>
      <c r="H6" s="157">
        <f>10039*0.05</f>
        <v>501.95000000000005</v>
      </c>
      <c r="K6"/>
    </row>
    <row r="7" spans="1:11" x14ac:dyDescent="0.25">
      <c r="A7" s="10" t="s">
        <v>60</v>
      </c>
      <c r="B7" s="11">
        <v>12</v>
      </c>
      <c r="C7" s="15">
        <v>10000</v>
      </c>
      <c r="D7" s="11">
        <v>0.03</v>
      </c>
      <c r="E7" s="32">
        <f>SUM(E16*D7)</f>
        <v>3930</v>
      </c>
      <c r="F7" s="14">
        <v>1</v>
      </c>
      <c r="G7" s="15">
        <f t="shared" ref="G7:G14" si="0">(C7-E7)/F7</f>
        <v>6070</v>
      </c>
      <c r="H7" s="157">
        <f>6070*0.05</f>
        <v>303.5</v>
      </c>
      <c r="K7"/>
    </row>
    <row r="8" spans="1:11" x14ac:dyDescent="0.25">
      <c r="A8" s="10" t="s">
        <v>53</v>
      </c>
      <c r="B8" s="11">
        <v>8</v>
      </c>
      <c r="C8" s="15">
        <v>28000</v>
      </c>
      <c r="D8" s="11">
        <v>0.15</v>
      </c>
      <c r="E8" s="32">
        <f>SUM(E16*D8)</f>
        <v>19650</v>
      </c>
      <c r="F8" s="14">
        <v>3</v>
      </c>
      <c r="G8" s="15">
        <f t="shared" si="0"/>
        <v>2783.3333333333335</v>
      </c>
      <c r="H8" s="157">
        <f>2087.5*0.05</f>
        <v>104.375</v>
      </c>
      <c r="K8"/>
    </row>
    <row r="9" spans="1:11" x14ac:dyDescent="0.25">
      <c r="A9" s="10" t="s">
        <v>61</v>
      </c>
      <c r="B9" s="11">
        <v>2</v>
      </c>
      <c r="C9" s="15">
        <v>1855</v>
      </c>
      <c r="D9" s="11">
        <v>0.01</v>
      </c>
      <c r="E9" s="32">
        <f>SUM(E16*D9)</f>
        <v>1310</v>
      </c>
      <c r="F9" s="14">
        <v>2</v>
      </c>
      <c r="G9" s="15">
        <f t="shared" si="0"/>
        <v>272.5</v>
      </c>
      <c r="H9" s="157">
        <f>272.5*0.05</f>
        <v>13.625</v>
      </c>
      <c r="K9"/>
    </row>
    <row r="10" spans="1:11" x14ac:dyDescent="0.25">
      <c r="A10" s="10" t="s">
        <v>162</v>
      </c>
      <c r="B10" s="11">
        <v>40</v>
      </c>
      <c r="C10" s="15">
        <v>45000</v>
      </c>
      <c r="D10" s="11">
        <v>0.05</v>
      </c>
      <c r="E10" s="32">
        <v>0</v>
      </c>
      <c r="F10" s="14">
        <v>2</v>
      </c>
      <c r="G10" s="15">
        <f t="shared" si="0"/>
        <v>22500</v>
      </c>
      <c r="H10" s="157">
        <f>22500*0.05</f>
        <v>1125</v>
      </c>
      <c r="K10"/>
    </row>
    <row r="11" spans="1:11" x14ac:dyDescent="0.25">
      <c r="A11" s="10" t="s">
        <v>62</v>
      </c>
      <c r="B11" s="11">
        <v>5</v>
      </c>
      <c r="C11" s="15">
        <v>7000</v>
      </c>
      <c r="D11" s="11">
        <v>7.0000000000000007E-2</v>
      </c>
      <c r="E11" s="32">
        <v>0</v>
      </c>
      <c r="F11" s="14">
        <v>4</v>
      </c>
      <c r="G11" s="15">
        <f t="shared" si="0"/>
        <v>1750</v>
      </c>
      <c r="H11" s="157">
        <f>1750*0.05</f>
        <v>87.5</v>
      </c>
      <c r="K11"/>
    </row>
    <row r="12" spans="1:11" x14ac:dyDescent="0.25">
      <c r="A12" s="10" t="s">
        <v>63</v>
      </c>
      <c r="B12" s="11">
        <v>2</v>
      </c>
      <c r="C12" s="15">
        <v>3060</v>
      </c>
      <c r="D12" s="11">
        <v>0.01</v>
      </c>
      <c r="E12" s="32">
        <f>SUM(E16*D12)</f>
        <v>1310</v>
      </c>
      <c r="F12" s="14">
        <v>2</v>
      </c>
      <c r="G12" s="15">
        <f t="shared" si="0"/>
        <v>875</v>
      </c>
      <c r="H12" s="157">
        <f>875*0.05</f>
        <v>43.75</v>
      </c>
      <c r="K12"/>
    </row>
    <row r="13" spans="1:11" x14ac:dyDescent="0.25">
      <c r="A13" s="10" t="s">
        <v>64</v>
      </c>
      <c r="B13" s="11">
        <v>5</v>
      </c>
      <c r="C13" s="15">
        <v>48000</v>
      </c>
      <c r="D13" s="11">
        <v>0.12</v>
      </c>
      <c r="E13" s="32">
        <f>SUM(E16*D13)</f>
        <v>15720</v>
      </c>
      <c r="F13" s="14">
        <v>2</v>
      </c>
      <c r="G13" s="15">
        <f t="shared" si="0"/>
        <v>16140</v>
      </c>
      <c r="H13" s="157">
        <f>16140*0.05</f>
        <v>807</v>
      </c>
      <c r="K13"/>
    </row>
    <row r="14" spans="1:11" x14ac:dyDescent="0.25">
      <c r="A14" s="10" t="s">
        <v>54</v>
      </c>
      <c r="B14" s="11">
        <v>20</v>
      </c>
      <c r="C14" s="15">
        <v>300000</v>
      </c>
      <c r="D14" s="11">
        <v>0.41</v>
      </c>
      <c r="E14" s="32">
        <f>SUM(E16*D14)</f>
        <v>53710</v>
      </c>
      <c r="F14" s="14">
        <v>5</v>
      </c>
      <c r="G14" s="15">
        <f t="shared" si="0"/>
        <v>49258</v>
      </c>
      <c r="H14" s="157">
        <f>49258*0.05</f>
        <v>2462.9</v>
      </c>
      <c r="K14"/>
    </row>
    <row r="15" spans="1:11" x14ac:dyDescent="0.25">
      <c r="A15" s="10" t="s">
        <v>65</v>
      </c>
      <c r="B15" s="11">
        <v>5</v>
      </c>
      <c r="C15" s="15">
        <v>4000</v>
      </c>
      <c r="D15" s="11">
        <v>0.02</v>
      </c>
      <c r="E15" s="32">
        <f>SUM(E16*D15)</f>
        <v>2620</v>
      </c>
      <c r="F15" s="14">
        <v>2</v>
      </c>
      <c r="G15" s="15">
        <f>(C15-E15)/F15</f>
        <v>690</v>
      </c>
      <c r="H15" s="157">
        <f>690*0.05</f>
        <v>34.5</v>
      </c>
      <c r="K15"/>
    </row>
    <row r="16" spans="1:11" ht="13.8" thickBot="1" x14ac:dyDescent="0.3">
      <c r="A16" s="17" t="s">
        <v>55</v>
      </c>
      <c r="B16" s="18"/>
      <c r="C16" s="19">
        <f>SUM(C6:C15)</f>
        <v>473984</v>
      </c>
      <c r="D16" s="20">
        <f>SUM(D6:D15)</f>
        <v>1</v>
      </c>
      <c r="E16" s="19">
        <v>131000</v>
      </c>
      <c r="F16" s="19"/>
      <c r="G16" s="19">
        <f>SUM(G6:G15)</f>
        <v>110377.83333333333</v>
      </c>
      <c r="H16" s="55">
        <f>SUM(H6:H15)</f>
        <v>5484.1</v>
      </c>
      <c r="K16"/>
    </row>
    <row r="18" spans="1:15" x14ac:dyDescent="0.25">
      <c r="G18" s="31"/>
      <c r="H18" s="31"/>
      <c r="J18" s="31"/>
    </row>
    <row r="19" spans="1:15" ht="24.75" customHeight="1" x14ac:dyDescent="0.25">
      <c r="A19" s="228" t="s">
        <v>1</v>
      </c>
      <c r="B19" s="228"/>
      <c r="C19" s="228"/>
      <c r="D19" s="228"/>
      <c r="E19" s="228"/>
      <c r="F19" s="228"/>
      <c r="G19" s="228"/>
      <c r="H19" s="3"/>
      <c r="I19" s="31">
        <f>SUM(H16/12)</f>
        <v>457.00833333333338</v>
      </c>
      <c r="J19" s="31"/>
      <c r="K19" s="4"/>
    </row>
    <row r="20" spans="1:15" ht="100.5" customHeight="1" x14ac:dyDescent="0.25">
      <c r="A20" s="136" t="s">
        <v>56</v>
      </c>
      <c r="B20" s="136" t="s">
        <v>57</v>
      </c>
      <c r="C20" s="131" t="s">
        <v>112</v>
      </c>
      <c r="D20" s="137" t="s">
        <v>149</v>
      </c>
      <c r="E20" s="137" t="s">
        <v>68</v>
      </c>
      <c r="F20" s="137" t="s">
        <v>164</v>
      </c>
      <c r="G20" s="137" t="s">
        <v>163</v>
      </c>
      <c r="H20" s="46"/>
      <c r="K20"/>
    </row>
    <row r="21" spans="1:15" ht="18.75" customHeight="1" x14ac:dyDescent="0.3">
      <c r="A21" s="97" t="s">
        <v>101</v>
      </c>
      <c r="B21" s="98">
        <v>3.49E-2</v>
      </c>
      <c r="C21" s="134">
        <f>'budget 2022'!C47</f>
        <v>346.12074999999999</v>
      </c>
      <c r="D21" s="100">
        <f>G16*B21/12</f>
        <v>321.01553194444443</v>
      </c>
      <c r="E21" s="134">
        <f>SUM(C21+D21)</f>
        <v>667.13628194444436</v>
      </c>
      <c r="F21" s="134">
        <f>SUM(H16*B21)/12</f>
        <v>15.949590833333334</v>
      </c>
      <c r="G21" s="59">
        <f>C21+F21</f>
        <v>362.07034083333332</v>
      </c>
      <c r="H21" s="31"/>
      <c r="I21" s="160"/>
      <c r="K21"/>
    </row>
    <row r="22" spans="1:15" ht="45" x14ac:dyDescent="0.3">
      <c r="A22" s="97" t="s">
        <v>102</v>
      </c>
      <c r="B22" s="98">
        <v>3.8600000000000002E-2</v>
      </c>
      <c r="C22" s="134">
        <f>'budget 2022'!C48</f>
        <v>382.81549999999999</v>
      </c>
      <c r="D22" s="100">
        <f>G16*B22/12</f>
        <v>355.04869722222224</v>
      </c>
      <c r="E22" s="134">
        <f>SUM(C22+D22)</f>
        <v>737.86419722222217</v>
      </c>
      <c r="F22" s="134">
        <f>SUM(H16*B22)/12</f>
        <v>17.640521666666668</v>
      </c>
      <c r="G22" s="59">
        <f>SUM(F22+C22)</f>
        <v>400.45602166666663</v>
      </c>
      <c r="H22" s="31"/>
      <c r="I22" s="160"/>
      <c r="K22"/>
    </row>
    <row r="23" spans="1:15" ht="28.5" customHeight="1" x14ac:dyDescent="0.3">
      <c r="A23" s="97" t="s">
        <v>103</v>
      </c>
      <c r="B23" s="98">
        <v>4.1399999999999999E-2</v>
      </c>
      <c r="C23" s="134">
        <f>'budget 2022'!C49</f>
        <v>410.58449999999999</v>
      </c>
      <c r="D23" s="100">
        <f>G16*B23/12</f>
        <v>380.80352499999998</v>
      </c>
      <c r="E23" s="134">
        <f>SUM(C23+D23)</f>
        <v>791.38802499999997</v>
      </c>
      <c r="F23" s="134">
        <f>SUM(H16*B23)/12</f>
        <v>18.920145000000002</v>
      </c>
      <c r="G23" s="59">
        <f>F23+C23</f>
        <v>429.50464499999998</v>
      </c>
      <c r="H23" s="31"/>
      <c r="I23" s="160"/>
      <c r="K23"/>
    </row>
    <row r="24" spans="1:15" x14ac:dyDescent="0.25">
      <c r="G24" s="31"/>
      <c r="H24" s="31"/>
    </row>
    <row r="26" spans="1:15" ht="12.75" customHeight="1" x14ac:dyDescent="0.25">
      <c r="A26" s="207" t="s">
        <v>42</v>
      </c>
      <c r="B26" s="207"/>
      <c r="C26" s="207"/>
      <c r="D26" s="207"/>
      <c r="E26" s="207"/>
      <c r="F26" s="207"/>
      <c r="G26" s="207"/>
      <c r="H26" s="207"/>
      <c r="I26" s="207"/>
      <c r="J26" s="135"/>
    </row>
    <row r="27" spans="1:15" ht="45.75" customHeight="1" x14ac:dyDescent="0.25">
      <c r="A27" s="207"/>
      <c r="B27" s="207"/>
      <c r="C27" s="207"/>
      <c r="D27" s="207"/>
      <c r="E27" s="207"/>
      <c r="F27" s="207"/>
      <c r="G27" s="207"/>
      <c r="H27" s="207"/>
      <c r="I27" s="207"/>
      <c r="J27" s="135"/>
      <c r="O27" s="31"/>
    </row>
    <row r="28" spans="1:15" x14ac:dyDescent="0.25">
      <c r="O28" s="31"/>
    </row>
  </sheetData>
  <mergeCells count="3">
    <mergeCell ref="A2:H2"/>
    <mergeCell ref="A19:G19"/>
    <mergeCell ref="A26:I27"/>
  </mergeCells>
  <pageMargins left="0.75" right="0.2" top="1" bottom="1" header="0.5" footer="0.5"/>
  <pageSetup scale="59" orientation="landscape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B5990C-A1AD-485D-9851-9900AB8BB390}">
  <sheetPr>
    <tabColor rgb="FFFFFF00"/>
  </sheetPr>
  <dimension ref="A1:C4"/>
  <sheetViews>
    <sheetView workbookViewId="0">
      <selection activeCell="E14" sqref="E14"/>
    </sheetView>
  </sheetViews>
  <sheetFormatPr defaultRowHeight="13.2" x14ac:dyDescent="0.25"/>
  <cols>
    <col min="1" max="1" width="30.77734375" customWidth="1"/>
    <col min="2" max="2" width="28.77734375" customWidth="1"/>
    <col min="3" max="3" width="32.44140625" customWidth="1"/>
  </cols>
  <sheetData>
    <row r="1" spans="1:3" ht="55.05" customHeight="1" x14ac:dyDescent="0.3">
      <c r="A1" s="107" t="s">
        <v>177</v>
      </c>
      <c r="B1" s="107" t="s">
        <v>178</v>
      </c>
      <c r="C1" s="107" t="s">
        <v>179</v>
      </c>
    </row>
    <row r="2" spans="1:3" ht="15.6" x14ac:dyDescent="0.3">
      <c r="A2" s="159">
        <v>386</v>
      </c>
      <c r="B2" s="159">
        <v>444</v>
      </c>
      <c r="C2" s="159">
        <v>474</v>
      </c>
    </row>
    <row r="3" spans="1:3" ht="15.6" x14ac:dyDescent="0.3">
      <c r="A3" s="159">
        <v>427</v>
      </c>
      <c r="B3" s="159">
        <v>492</v>
      </c>
      <c r="C3" s="159">
        <v>526</v>
      </c>
    </row>
    <row r="4" spans="1:3" ht="15.6" x14ac:dyDescent="0.3">
      <c r="A4" s="159">
        <v>458</v>
      </c>
      <c r="B4" s="159">
        <v>527</v>
      </c>
      <c r="C4" s="159">
        <v>562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65"/>
  <sheetViews>
    <sheetView view="pageBreakPreview" topLeftCell="A7" zoomScale="60" workbookViewId="0">
      <selection activeCell="B59" sqref="B59"/>
    </sheetView>
  </sheetViews>
  <sheetFormatPr defaultColWidth="8.77734375" defaultRowHeight="13.2" x14ac:dyDescent="0.25"/>
  <cols>
    <col min="1" max="1" width="34.44140625" bestFit="1" customWidth="1"/>
    <col min="2" max="2" width="28.44140625" style="3" bestFit="1" customWidth="1"/>
    <col min="3" max="3" width="24.44140625" style="3" customWidth="1"/>
    <col min="4" max="4" width="22.5546875" style="3" customWidth="1"/>
    <col min="5" max="5" width="28.44140625" customWidth="1"/>
    <col min="7" max="7" width="9.44140625" bestFit="1" customWidth="1"/>
  </cols>
  <sheetData>
    <row r="1" spans="1:5" ht="42.75" customHeight="1" x14ac:dyDescent="0.25">
      <c r="A1" s="161" t="s">
        <v>79</v>
      </c>
      <c r="B1" s="162"/>
      <c r="C1" s="162"/>
      <c r="D1" s="162"/>
    </row>
    <row r="3" spans="1:5" x14ac:dyDescent="0.25">
      <c r="B3" s="2" t="s">
        <v>36</v>
      </c>
      <c r="C3" s="2" t="s">
        <v>37</v>
      </c>
      <c r="D3" s="2" t="s">
        <v>72</v>
      </c>
      <c r="E3" s="43"/>
    </row>
    <row r="4" spans="1:5" x14ac:dyDescent="0.25">
      <c r="A4" s="1" t="s">
        <v>0</v>
      </c>
      <c r="B4" s="2">
        <v>2010</v>
      </c>
      <c r="C4" s="2">
        <v>2010</v>
      </c>
      <c r="D4" s="2">
        <v>2011</v>
      </c>
      <c r="E4" s="46"/>
    </row>
    <row r="5" spans="1:5" x14ac:dyDescent="0.25">
      <c r="A5" t="s">
        <v>1</v>
      </c>
      <c r="B5" s="4">
        <v>88627</v>
      </c>
      <c r="C5" s="4">
        <v>84355</v>
      </c>
      <c r="D5" s="4">
        <v>101958</v>
      </c>
      <c r="E5" s="48"/>
    </row>
    <row r="6" spans="1:5" x14ac:dyDescent="0.25">
      <c r="A6" t="s">
        <v>2</v>
      </c>
      <c r="B6" s="4">
        <v>200</v>
      </c>
      <c r="C6" s="4">
        <v>400</v>
      </c>
      <c r="D6" s="4">
        <v>200</v>
      </c>
      <c r="E6" s="48"/>
    </row>
    <row r="7" spans="1:5" x14ac:dyDescent="0.25">
      <c r="A7" s="44" t="s">
        <v>81</v>
      </c>
      <c r="B7" s="4">
        <v>0</v>
      </c>
      <c r="C7" s="4"/>
      <c r="D7" s="4">
        <v>0</v>
      </c>
      <c r="E7" s="48"/>
    </row>
    <row r="8" spans="1:5" ht="13.8" thickBot="1" x14ac:dyDescent="0.3">
      <c r="A8" t="s">
        <v>3</v>
      </c>
      <c r="B8" s="5">
        <v>0</v>
      </c>
      <c r="C8" s="5">
        <v>0</v>
      </c>
      <c r="D8" s="5">
        <v>0</v>
      </c>
      <c r="E8" s="48"/>
    </row>
    <row r="9" spans="1:5" x14ac:dyDescent="0.25">
      <c r="A9" s="37"/>
      <c r="B9" s="35">
        <v>88827</v>
      </c>
      <c r="C9" s="35">
        <f>SUM(C4:C8)</f>
        <v>86765</v>
      </c>
      <c r="D9" s="40">
        <f>SUM(D5+D6)</f>
        <v>102158</v>
      </c>
      <c r="E9" s="48"/>
    </row>
    <row r="10" spans="1:5" x14ac:dyDescent="0.25">
      <c r="A10" s="1" t="s">
        <v>4</v>
      </c>
      <c r="B10" s="4"/>
      <c r="C10" s="4"/>
      <c r="D10" s="4"/>
      <c r="E10" s="48"/>
    </row>
    <row r="11" spans="1:5" x14ac:dyDescent="0.25">
      <c r="A11" s="1" t="s">
        <v>5</v>
      </c>
      <c r="B11" s="4"/>
      <c r="C11" s="4"/>
      <c r="D11" s="4"/>
      <c r="E11" s="48"/>
    </row>
    <row r="12" spans="1:5" x14ac:dyDescent="0.25">
      <c r="A12" t="s">
        <v>38</v>
      </c>
      <c r="B12" s="4">
        <v>3000</v>
      </c>
      <c r="C12" s="4">
        <v>18000</v>
      </c>
      <c r="D12" s="4">
        <v>13000</v>
      </c>
      <c r="E12" s="47"/>
    </row>
    <row r="13" spans="1:5" x14ac:dyDescent="0.25">
      <c r="A13" t="s">
        <v>6</v>
      </c>
      <c r="B13" s="4">
        <v>150</v>
      </c>
      <c r="C13" s="4">
        <v>200</v>
      </c>
      <c r="D13" s="4">
        <v>200</v>
      </c>
      <c r="E13" s="47"/>
    </row>
    <row r="14" spans="1:5" x14ac:dyDescent="0.25">
      <c r="A14" t="s">
        <v>7</v>
      </c>
      <c r="B14" s="4">
        <v>190</v>
      </c>
      <c r="C14" s="4">
        <v>200</v>
      </c>
      <c r="D14" s="4">
        <v>200</v>
      </c>
      <c r="E14" s="47"/>
    </row>
    <row r="15" spans="1:5" x14ac:dyDescent="0.25">
      <c r="A15" s="44" t="s">
        <v>82</v>
      </c>
      <c r="B15" s="4">
        <v>0</v>
      </c>
      <c r="C15" s="4">
        <v>1000</v>
      </c>
      <c r="D15" s="4">
        <v>1000</v>
      </c>
      <c r="E15" s="47"/>
    </row>
    <row r="16" spans="1:5" x14ac:dyDescent="0.25">
      <c r="A16" t="s">
        <v>8</v>
      </c>
      <c r="B16" s="4">
        <v>550</v>
      </c>
      <c r="C16" s="4">
        <v>200</v>
      </c>
      <c r="D16" s="4">
        <v>200</v>
      </c>
      <c r="E16" s="47"/>
    </row>
    <row r="17" spans="1:5" x14ac:dyDescent="0.25">
      <c r="A17" t="s">
        <v>11</v>
      </c>
      <c r="B17" s="4">
        <v>70</v>
      </c>
      <c r="C17" s="4">
        <v>120</v>
      </c>
      <c r="D17" s="4">
        <v>120</v>
      </c>
      <c r="E17" s="47"/>
    </row>
    <row r="18" spans="1:5" x14ac:dyDescent="0.25">
      <c r="A18" t="s">
        <v>31</v>
      </c>
      <c r="B18" s="4">
        <v>350</v>
      </c>
      <c r="C18" s="4">
        <v>275</v>
      </c>
      <c r="D18" s="4">
        <v>300</v>
      </c>
      <c r="E18" s="47"/>
    </row>
    <row r="19" spans="1:5" ht="13.8" thickBot="1" x14ac:dyDescent="0.3">
      <c r="A19" t="s">
        <v>12</v>
      </c>
      <c r="B19" s="5">
        <v>200</v>
      </c>
      <c r="C19" s="5">
        <v>160</v>
      </c>
      <c r="D19" s="5">
        <v>180</v>
      </c>
      <c r="E19" s="47"/>
    </row>
    <row r="20" spans="1:5" x14ac:dyDescent="0.25">
      <c r="A20" s="1" t="s">
        <v>13</v>
      </c>
      <c r="B20" s="6">
        <v>4630</v>
      </c>
      <c r="C20" s="6">
        <f>SUM(C12:C19)</f>
        <v>20155</v>
      </c>
      <c r="D20" s="6">
        <f>SUM(D12:D19)</f>
        <v>15200</v>
      </c>
      <c r="E20" s="47"/>
    </row>
    <row r="21" spans="1:5" x14ac:dyDescent="0.25">
      <c r="B21" s="4"/>
      <c r="C21" s="4"/>
      <c r="D21" s="4"/>
      <c r="E21" s="47"/>
    </row>
    <row r="22" spans="1:5" x14ac:dyDescent="0.25">
      <c r="A22" s="1" t="s">
        <v>14</v>
      </c>
      <c r="B22" s="4"/>
      <c r="C22" s="4"/>
      <c r="D22" s="4"/>
      <c r="E22" s="47"/>
    </row>
    <row r="23" spans="1:5" x14ac:dyDescent="0.25">
      <c r="A23" t="s">
        <v>15</v>
      </c>
      <c r="B23" s="4">
        <v>11000</v>
      </c>
      <c r="C23" s="4">
        <f>930*12</f>
        <v>11160</v>
      </c>
      <c r="D23" s="4">
        <v>12000</v>
      </c>
      <c r="E23" s="47"/>
    </row>
    <row r="24" spans="1:5" x14ac:dyDescent="0.25">
      <c r="A24" t="s">
        <v>16</v>
      </c>
      <c r="B24" s="4">
        <v>800</v>
      </c>
      <c r="C24" s="4">
        <v>400</v>
      </c>
      <c r="D24" s="4">
        <v>500</v>
      </c>
      <c r="E24" s="47"/>
    </row>
    <row r="25" spans="1:5" x14ac:dyDescent="0.25">
      <c r="A25" t="s">
        <v>17</v>
      </c>
      <c r="B25" s="4">
        <v>2040</v>
      </c>
      <c r="C25" s="4">
        <v>2200</v>
      </c>
      <c r="D25" s="4">
        <v>2500</v>
      </c>
      <c r="E25" s="47"/>
    </row>
    <row r="26" spans="1:5" x14ac:dyDescent="0.25">
      <c r="A26" t="s">
        <v>18</v>
      </c>
      <c r="B26" s="4">
        <v>3600</v>
      </c>
      <c r="C26" s="4">
        <v>3600</v>
      </c>
      <c r="D26" s="4">
        <f>300*12</f>
        <v>3600</v>
      </c>
      <c r="E26" s="47"/>
    </row>
    <row r="27" spans="1:5" x14ac:dyDescent="0.25">
      <c r="A27" t="s">
        <v>19</v>
      </c>
      <c r="B27" s="4">
        <v>4500</v>
      </c>
      <c r="C27" s="4">
        <f>350*12</f>
        <v>4200</v>
      </c>
      <c r="D27" s="4">
        <v>4200</v>
      </c>
      <c r="E27" s="47"/>
    </row>
    <row r="28" spans="1:5" ht="13.8" thickBot="1" x14ac:dyDescent="0.3">
      <c r="A28" t="s">
        <v>20</v>
      </c>
      <c r="B28" s="5">
        <v>1500</v>
      </c>
      <c r="C28" s="5">
        <f>125*12</f>
        <v>1500</v>
      </c>
      <c r="D28" s="5">
        <v>2000</v>
      </c>
      <c r="E28" s="47"/>
    </row>
    <row r="29" spans="1:5" x14ac:dyDescent="0.25">
      <c r="A29" s="1" t="s">
        <v>21</v>
      </c>
      <c r="B29" s="6">
        <v>23440</v>
      </c>
      <c r="C29" s="6">
        <f>SUM(C23:C28)</f>
        <v>23060</v>
      </c>
      <c r="D29" s="6">
        <f>SUM(D23:D28)</f>
        <v>24800</v>
      </c>
      <c r="E29" s="47"/>
    </row>
    <row r="30" spans="1:5" x14ac:dyDescent="0.25">
      <c r="B30" s="4"/>
      <c r="C30" s="4"/>
      <c r="D30" s="4"/>
      <c r="E30" s="47"/>
    </row>
    <row r="31" spans="1:5" x14ac:dyDescent="0.25">
      <c r="A31" s="1" t="s">
        <v>22</v>
      </c>
      <c r="B31" s="6">
        <v>25097</v>
      </c>
      <c r="C31" s="6">
        <v>20995</v>
      </c>
      <c r="D31" s="6">
        <v>24058</v>
      </c>
      <c r="E31" s="47"/>
    </row>
    <row r="32" spans="1:5" x14ac:dyDescent="0.25">
      <c r="B32" s="4"/>
      <c r="C32" s="4"/>
      <c r="D32" s="4"/>
      <c r="E32" s="47"/>
    </row>
    <row r="33" spans="1:7" x14ac:dyDescent="0.25">
      <c r="A33" s="1" t="s">
        <v>23</v>
      </c>
      <c r="B33" s="4"/>
      <c r="C33" s="4"/>
      <c r="D33" s="4"/>
      <c r="E33" s="47"/>
    </row>
    <row r="34" spans="1:7" x14ac:dyDescent="0.25">
      <c r="A34" t="s">
        <v>24</v>
      </c>
      <c r="B34" s="4">
        <v>500</v>
      </c>
      <c r="C34" s="4">
        <v>0</v>
      </c>
      <c r="D34" s="4">
        <v>0</v>
      </c>
      <c r="E34" s="47"/>
    </row>
    <row r="35" spans="1:7" x14ac:dyDescent="0.25">
      <c r="A35" t="s">
        <v>26</v>
      </c>
      <c r="B35" s="4">
        <v>4860</v>
      </c>
      <c r="C35" s="4">
        <f>405*12</f>
        <v>4860</v>
      </c>
      <c r="D35" s="4">
        <v>5000</v>
      </c>
      <c r="E35" s="47"/>
    </row>
    <row r="36" spans="1:7" x14ac:dyDescent="0.25">
      <c r="A36" t="s">
        <v>27</v>
      </c>
      <c r="B36" s="4">
        <v>11000</v>
      </c>
      <c r="C36" s="4">
        <f>810*12</f>
        <v>9720</v>
      </c>
      <c r="D36" s="4">
        <v>10500</v>
      </c>
      <c r="E36" s="47"/>
    </row>
    <row r="37" spans="1:7" x14ac:dyDescent="0.25">
      <c r="A37" t="s">
        <v>28</v>
      </c>
      <c r="B37" s="4">
        <v>800</v>
      </c>
      <c r="C37" s="4">
        <v>1200</v>
      </c>
      <c r="D37" s="4">
        <v>1300</v>
      </c>
      <c r="E37" s="47"/>
    </row>
    <row r="38" spans="1:7" x14ac:dyDescent="0.25">
      <c r="A38" s="44" t="s">
        <v>88</v>
      </c>
      <c r="B38" s="4">
        <v>0</v>
      </c>
      <c r="C38" s="4">
        <v>300</v>
      </c>
      <c r="D38" s="4">
        <v>300</v>
      </c>
      <c r="E38" s="47"/>
    </row>
    <row r="39" spans="1:7" ht="13.8" thickBot="1" x14ac:dyDescent="0.3">
      <c r="A39" t="s">
        <v>29</v>
      </c>
      <c r="B39" s="5">
        <v>100</v>
      </c>
      <c r="C39" s="5">
        <v>1500</v>
      </c>
      <c r="D39" s="5">
        <v>1700</v>
      </c>
      <c r="E39" s="47"/>
    </row>
    <row r="40" spans="1:7" x14ac:dyDescent="0.25">
      <c r="A40" s="1" t="s">
        <v>30</v>
      </c>
      <c r="B40" s="6">
        <v>17260</v>
      </c>
      <c r="C40" s="6">
        <f>SUM(C34:C39)</f>
        <v>17580</v>
      </c>
      <c r="D40" s="6">
        <f>SUM(D34:D39)</f>
        <v>18800</v>
      </c>
      <c r="E40" s="47"/>
    </row>
    <row r="41" spans="1:7" x14ac:dyDescent="0.25">
      <c r="B41" s="4"/>
      <c r="C41" s="4"/>
      <c r="D41" s="4"/>
      <c r="E41" s="47"/>
    </row>
    <row r="42" spans="1:7" x14ac:dyDescent="0.25">
      <c r="A42" s="1" t="s">
        <v>32</v>
      </c>
      <c r="B42" s="4"/>
      <c r="C42" s="4"/>
      <c r="D42" s="4"/>
      <c r="E42" s="47"/>
    </row>
    <row r="43" spans="1:7" x14ac:dyDescent="0.25">
      <c r="A43" t="s">
        <v>33</v>
      </c>
      <c r="B43" s="4">
        <v>2800</v>
      </c>
      <c r="C43" s="4">
        <v>2400</v>
      </c>
      <c r="D43" s="4">
        <v>2800</v>
      </c>
      <c r="E43" s="47"/>
    </row>
    <row r="44" spans="1:7" ht="13.8" thickBot="1" x14ac:dyDescent="0.3">
      <c r="A44" t="s">
        <v>34</v>
      </c>
      <c r="B44" s="5">
        <v>15600</v>
      </c>
      <c r="C44" s="5">
        <f>1300*12</f>
        <v>15600</v>
      </c>
      <c r="D44" s="5">
        <v>16500</v>
      </c>
      <c r="E44" s="47"/>
    </row>
    <row r="45" spans="1:7" x14ac:dyDescent="0.25">
      <c r="A45" s="1" t="s">
        <v>35</v>
      </c>
      <c r="B45" s="6">
        <v>18400</v>
      </c>
      <c r="C45" s="6">
        <f>SUM(C43:C44)</f>
        <v>18000</v>
      </c>
      <c r="D45" s="6">
        <f>SUM(D43:D44)</f>
        <v>19300</v>
      </c>
      <c r="E45" s="48"/>
    </row>
    <row r="46" spans="1:7" x14ac:dyDescent="0.25">
      <c r="B46" s="4"/>
      <c r="C46" s="4"/>
      <c r="D46" s="4"/>
      <c r="E46" s="48"/>
    </row>
    <row r="47" spans="1:7" x14ac:dyDescent="0.25">
      <c r="A47" s="1" t="s">
        <v>69</v>
      </c>
      <c r="B47" s="6">
        <v>16107</v>
      </c>
      <c r="C47" s="6">
        <v>17767</v>
      </c>
      <c r="D47" s="6">
        <v>11768.598695004146</v>
      </c>
      <c r="E47" s="48"/>
    </row>
    <row r="48" spans="1:7" ht="13.8" thickBot="1" x14ac:dyDescent="0.3">
      <c r="A48" s="1" t="s">
        <v>70</v>
      </c>
      <c r="B48" s="5">
        <v>23088</v>
      </c>
      <c r="C48" s="5"/>
      <c r="D48" s="36">
        <v>23088</v>
      </c>
      <c r="E48" s="48"/>
      <c r="G48" s="6"/>
    </row>
    <row r="49" spans="1:5" x14ac:dyDescent="0.25">
      <c r="A49" s="1" t="s">
        <v>83</v>
      </c>
      <c r="B49" s="4"/>
      <c r="C49" s="35">
        <f>C45+C40+C31+C29+C20</f>
        <v>99790</v>
      </c>
      <c r="D49" s="6">
        <f>D45+D40+D31+D29+D20</f>
        <v>102158</v>
      </c>
      <c r="E49" s="47"/>
    </row>
    <row r="50" spans="1:5" ht="13.8" thickBot="1" x14ac:dyDescent="0.3"/>
    <row r="51" spans="1:5" ht="16.2" thickBot="1" x14ac:dyDescent="0.35">
      <c r="A51" s="163" t="s">
        <v>1</v>
      </c>
      <c r="B51" s="164"/>
      <c r="C51" s="164"/>
      <c r="D51" s="165"/>
      <c r="E51" s="57"/>
    </row>
    <row r="52" spans="1:5" ht="64.5" customHeight="1" x14ac:dyDescent="0.3">
      <c r="A52" s="22" t="s">
        <v>56</v>
      </c>
      <c r="B52" s="23" t="s">
        <v>57</v>
      </c>
      <c r="C52" s="24" t="s">
        <v>93</v>
      </c>
      <c r="D52" s="25" t="s">
        <v>68</v>
      </c>
      <c r="E52" s="31"/>
    </row>
    <row r="53" spans="1:5" ht="15.6" x14ac:dyDescent="0.3">
      <c r="A53" s="26" t="s">
        <v>85</v>
      </c>
      <c r="B53" s="27">
        <v>3.49E-2</v>
      </c>
      <c r="C53" s="28">
        <v>334.24771761219279</v>
      </c>
      <c r="D53" s="29">
        <v>371.96758522438557</v>
      </c>
    </row>
    <row r="54" spans="1:5" ht="60.6" x14ac:dyDescent="0.25">
      <c r="A54" s="30" t="s">
        <v>86</v>
      </c>
      <c r="B54" s="27">
        <v>3.8600000000000002E-2</v>
      </c>
      <c r="C54" s="28">
        <v>365.68476761219279</v>
      </c>
      <c r="D54" s="29">
        <v>403.40463522438557</v>
      </c>
    </row>
    <row r="55" spans="1:5" ht="15.6" x14ac:dyDescent="0.3">
      <c r="A55" s="26" t="s">
        <v>87</v>
      </c>
      <c r="B55" s="27">
        <v>4.1399999999999999E-2</v>
      </c>
      <c r="C55" s="28">
        <v>389.47496761219281</v>
      </c>
      <c r="D55" s="29">
        <v>427.1948352243856</v>
      </c>
    </row>
    <row r="57" spans="1:5" x14ac:dyDescent="0.25">
      <c r="A57" s="172" t="s">
        <v>84</v>
      </c>
      <c r="B57" s="172"/>
      <c r="C57" s="2"/>
      <c r="D57" s="2"/>
    </row>
    <row r="58" spans="1:5" x14ac:dyDescent="0.25">
      <c r="A58" s="172" t="s">
        <v>58</v>
      </c>
      <c r="B58" s="172"/>
    </row>
    <row r="59" spans="1:5" ht="15.6" x14ac:dyDescent="0.3">
      <c r="A59" s="26" t="s">
        <v>90</v>
      </c>
      <c r="B59" s="45">
        <f>(101958*0.0349)/12</f>
        <v>296.52785</v>
      </c>
      <c r="C59" s="41"/>
      <c r="D59" s="41"/>
      <c r="E59" s="31"/>
    </row>
    <row r="60" spans="1:5" ht="60.6" x14ac:dyDescent="0.25">
      <c r="A60" s="30" t="s">
        <v>91</v>
      </c>
      <c r="B60" s="45">
        <f>(101958*0.0386)/12</f>
        <v>327.9649</v>
      </c>
      <c r="C60" s="41"/>
      <c r="D60" s="41"/>
      <c r="E60" s="31"/>
    </row>
    <row r="61" spans="1:5" ht="15.6" x14ac:dyDescent="0.3">
      <c r="A61" s="26" t="s">
        <v>92</v>
      </c>
      <c r="B61" s="45">
        <f>(101958*0.0414)/12</f>
        <v>351.75510000000003</v>
      </c>
      <c r="C61" s="41"/>
      <c r="D61" s="41"/>
      <c r="E61" s="31"/>
    </row>
    <row r="62" spans="1:5" x14ac:dyDescent="0.25">
      <c r="E62" s="31"/>
    </row>
    <row r="64" spans="1:5" x14ac:dyDescent="0.25">
      <c r="D64" s="41"/>
    </row>
    <row r="65" spans="3:3" x14ac:dyDescent="0.25">
      <c r="C65" s="41"/>
    </row>
  </sheetData>
  <mergeCells count="4">
    <mergeCell ref="A1:D1"/>
    <mergeCell ref="A58:B58"/>
    <mergeCell ref="A57:B57"/>
    <mergeCell ref="A51:D51"/>
  </mergeCells>
  <phoneticPr fontId="1" type="noConversion"/>
  <pageMargins left="0.25" right="0.28999999999999998" top="1" bottom="1" header="0.5" footer="0.5"/>
  <pageSetup scale="60" orientation="portrait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D8C7AC-3EF2-4772-9406-26943EE0D534}">
  <sheetPr>
    <tabColor rgb="FFFFFF00"/>
  </sheetPr>
  <dimension ref="A1:H51"/>
  <sheetViews>
    <sheetView view="pageBreakPreview" topLeftCell="A18" zoomScale="84" zoomScaleNormal="100" zoomScaleSheetLayoutView="84" workbookViewId="0">
      <selection activeCell="F29" sqref="F29"/>
    </sheetView>
  </sheetViews>
  <sheetFormatPr defaultColWidth="8.77734375" defaultRowHeight="15" x14ac:dyDescent="0.25"/>
  <cols>
    <col min="1" max="1" width="36.44140625" style="62" customWidth="1"/>
    <col min="2" max="2" width="20.77734375" style="77" bestFit="1" customWidth="1"/>
    <col min="3" max="3" width="28.44140625" style="77" customWidth="1"/>
    <col min="4" max="4" width="25.44140625" style="77" customWidth="1"/>
    <col min="5" max="5" width="15.44140625" style="62" customWidth="1"/>
    <col min="6" max="6" width="11.77734375" style="62" bestFit="1" customWidth="1"/>
    <col min="7" max="7" width="9.44140625" style="62" customWidth="1"/>
    <col min="8" max="16384" width="8.77734375" style="62"/>
  </cols>
  <sheetData>
    <row r="1" spans="1:5" ht="66" customHeight="1" x14ac:dyDescent="0.25">
      <c r="A1" s="223" t="s">
        <v>180</v>
      </c>
      <c r="B1" s="224"/>
      <c r="C1" s="224"/>
      <c r="D1" s="224"/>
    </row>
    <row r="3" spans="1:5" ht="15.6" x14ac:dyDescent="0.3">
      <c r="B3" s="61" t="s">
        <v>107</v>
      </c>
      <c r="C3" s="61" t="s">
        <v>37</v>
      </c>
      <c r="D3" s="61" t="s">
        <v>107</v>
      </c>
      <c r="E3" s="60"/>
    </row>
    <row r="4" spans="1:5" ht="15.6" x14ac:dyDescent="0.3">
      <c r="A4" s="57" t="s">
        <v>0</v>
      </c>
      <c r="B4" s="61">
        <v>2022</v>
      </c>
      <c r="C4" s="61">
        <v>2022</v>
      </c>
      <c r="D4" s="61">
        <v>2023</v>
      </c>
      <c r="E4" s="63"/>
    </row>
    <row r="5" spans="1:5" x14ac:dyDescent="0.25">
      <c r="A5" s="62" t="s">
        <v>1</v>
      </c>
      <c r="B5" s="64">
        <f>B45-B7</f>
        <v>118010</v>
      </c>
      <c r="C5" s="64">
        <v>123500</v>
      </c>
      <c r="D5" s="64">
        <f>D45-D7</f>
        <v>151825</v>
      </c>
      <c r="E5" s="65"/>
    </row>
    <row r="6" spans="1:5" x14ac:dyDescent="0.25">
      <c r="A6" s="62" t="s">
        <v>176</v>
      </c>
      <c r="B6" s="64">
        <v>0</v>
      </c>
      <c r="C6" s="64">
        <f>457.01*12</f>
        <v>5484.12</v>
      </c>
      <c r="D6" s="64"/>
      <c r="E6" s="65"/>
    </row>
    <row r="7" spans="1:5" ht="15.6" thickBot="1" x14ac:dyDescent="0.3">
      <c r="A7" s="62" t="s">
        <v>2</v>
      </c>
      <c r="B7" s="66">
        <v>1000</v>
      </c>
      <c r="C7" s="66">
        <v>350</v>
      </c>
      <c r="D7" s="66">
        <v>1000</v>
      </c>
      <c r="E7" s="65"/>
    </row>
    <row r="8" spans="1:5" ht="16.2" thickTop="1" x14ac:dyDescent="0.3">
      <c r="A8" s="67" t="s">
        <v>108</v>
      </c>
      <c r="B8" s="68">
        <f>SUM(B5:B7)</f>
        <v>119010</v>
      </c>
      <c r="C8" s="158">
        <f>SUM(C5:C7)</f>
        <v>129334.12</v>
      </c>
      <c r="D8" s="68">
        <f>SUM(D5:D7)</f>
        <v>152825</v>
      </c>
      <c r="E8" s="65"/>
    </row>
    <row r="9" spans="1:5" ht="15.6" x14ac:dyDescent="0.3">
      <c r="A9" s="57" t="s">
        <v>4</v>
      </c>
      <c r="B9" s="64"/>
      <c r="C9" s="64"/>
      <c r="D9" s="64"/>
      <c r="E9" s="65"/>
    </row>
    <row r="10" spans="1:5" ht="15.6" x14ac:dyDescent="0.3">
      <c r="A10" s="57" t="s">
        <v>5</v>
      </c>
      <c r="B10" s="64"/>
      <c r="C10" s="64"/>
      <c r="D10" s="64"/>
      <c r="E10" s="65"/>
    </row>
    <row r="11" spans="1:5" x14ac:dyDescent="0.25">
      <c r="A11" s="62" t="s">
        <v>38</v>
      </c>
      <c r="B11" s="64">
        <v>0</v>
      </c>
      <c r="C11" s="64">
        <v>10000</v>
      </c>
      <c r="D11" s="64">
        <v>2000</v>
      </c>
      <c r="E11" s="65"/>
    </row>
    <row r="12" spans="1:5" x14ac:dyDescent="0.25">
      <c r="A12" s="62" t="s">
        <v>7</v>
      </c>
      <c r="B12" s="64">
        <v>250</v>
      </c>
      <c r="C12" s="64">
        <v>425</v>
      </c>
      <c r="D12" s="64">
        <v>425</v>
      </c>
      <c r="E12" s="65"/>
    </row>
    <row r="13" spans="1:5" x14ac:dyDescent="0.25">
      <c r="A13" s="62" t="s">
        <v>82</v>
      </c>
      <c r="B13" s="64">
        <v>1000</v>
      </c>
      <c r="C13" s="64">
        <v>200</v>
      </c>
      <c r="D13" s="64">
        <v>500</v>
      </c>
      <c r="E13" s="65"/>
    </row>
    <row r="14" spans="1:5" x14ac:dyDescent="0.25">
      <c r="A14" s="62" t="s">
        <v>8</v>
      </c>
      <c r="B14" s="64">
        <v>300</v>
      </c>
      <c r="C14" s="64">
        <v>300</v>
      </c>
      <c r="D14" s="64">
        <v>300</v>
      </c>
      <c r="E14" s="65"/>
    </row>
    <row r="15" spans="1:5" x14ac:dyDescent="0.25">
      <c r="A15" s="62" t="s">
        <v>11</v>
      </c>
      <c r="B15" s="64">
        <v>100</v>
      </c>
      <c r="C15" s="64">
        <v>100</v>
      </c>
      <c r="D15" s="64">
        <v>100</v>
      </c>
      <c r="E15" s="65"/>
    </row>
    <row r="16" spans="1:5" x14ac:dyDescent="0.25">
      <c r="A16" s="62" t="s">
        <v>31</v>
      </c>
      <c r="B16" s="64">
        <v>320</v>
      </c>
      <c r="C16" s="64">
        <v>340</v>
      </c>
      <c r="D16" s="64">
        <v>350</v>
      </c>
      <c r="E16" s="65"/>
    </row>
    <row r="17" spans="1:7" ht="15.6" thickBot="1" x14ac:dyDescent="0.3">
      <c r="A17" s="62" t="s">
        <v>12</v>
      </c>
      <c r="B17" s="70">
        <v>100</v>
      </c>
      <c r="C17" s="70">
        <v>150</v>
      </c>
      <c r="D17" s="70">
        <v>150</v>
      </c>
      <c r="E17" s="65"/>
    </row>
    <row r="18" spans="1:7" ht="15.6" x14ac:dyDescent="0.3">
      <c r="A18" s="57" t="s">
        <v>13</v>
      </c>
      <c r="B18" s="71">
        <f>SUM(B11:B17)</f>
        <v>2070</v>
      </c>
      <c r="C18" s="71">
        <f>SUM(C11:C17)</f>
        <v>11515</v>
      </c>
      <c r="D18" s="71">
        <f>SUM(D11:D17)</f>
        <v>3825</v>
      </c>
      <c r="E18" s="65"/>
    </row>
    <row r="19" spans="1:7" x14ac:dyDescent="0.25">
      <c r="B19" s="64"/>
      <c r="C19" s="64"/>
      <c r="D19" s="64"/>
      <c r="E19" s="65"/>
    </row>
    <row r="20" spans="1:7" ht="15.6" x14ac:dyDescent="0.3">
      <c r="A20" s="57" t="s">
        <v>14</v>
      </c>
      <c r="B20" s="64"/>
      <c r="C20" s="64"/>
      <c r="D20" s="64"/>
      <c r="E20" s="65"/>
    </row>
    <row r="21" spans="1:7" x14ac:dyDescent="0.25">
      <c r="A21" s="62" t="s">
        <v>15</v>
      </c>
      <c r="B21" s="64">
        <v>22000</v>
      </c>
      <c r="C21" s="64">
        <v>22000</v>
      </c>
      <c r="D21" s="64">
        <v>1900</v>
      </c>
      <c r="E21" s="65"/>
    </row>
    <row r="22" spans="1:7" x14ac:dyDescent="0.25">
      <c r="A22" s="62" t="s">
        <v>17</v>
      </c>
      <c r="B22" s="64">
        <v>2000</v>
      </c>
      <c r="C22" s="64">
        <v>2000</v>
      </c>
      <c r="D22" s="64">
        <v>2000</v>
      </c>
      <c r="E22" s="65"/>
    </row>
    <row r="23" spans="1:7" x14ac:dyDescent="0.25">
      <c r="A23" s="62" t="s">
        <v>18</v>
      </c>
      <c r="B23" s="64">
        <v>6100</v>
      </c>
      <c r="C23" s="64">
        <v>6000</v>
      </c>
      <c r="D23" s="64">
        <v>6100</v>
      </c>
      <c r="E23" s="65"/>
    </row>
    <row r="24" spans="1:7" x14ac:dyDescent="0.25">
      <c r="A24" s="62" t="s">
        <v>19</v>
      </c>
      <c r="B24" s="64">
        <v>5400</v>
      </c>
      <c r="C24" s="64">
        <f>450*12</f>
        <v>5400</v>
      </c>
      <c r="D24" s="64">
        <v>5400</v>
      </c>
      <c r="E24" s="65"/>
      <c r="G24" s="62">
        <f>475*12</f>
        <v>5700</v>
      </c>
    </row>
    <row r="25" spans="1:7" ht="15.6" thickBot="1" x14ac:dyDescent="0.3">
      <c r="A25" s="62" t="s">
        <v>20</v>
      </c>
      <c r="B25" s="70">
        <f>120*12</f>
        <v>1440</v>
      </c>
      <c r="C25" s="70">
        <v>2400</v>
      </c>
      <c r="D25" s="70">
        <v>2000</v>
      </c>
      <c r="E25" s="65"/>
    </row>
    <row r="26" spans="1:7" ht="15.6" x14ac:dyDescent="0.3">
      <c r="A26" s="57" t="s">
        <v>21</v>
      </c>
      <c r="B26" s="71">
        <f>SUM(B21:B25)</f>
        <v>36940</v>
      </c>
      <c r="C26" s="71">
        <f>SUM(C21:C25)</f>
        <v>37800</v>
      </c>
      <c r="D26" s="71">
        <f>SUM(D21:D25)</f>
        <v>17400</v>
      </c>
      <c r="E26" s="65"/>
    </row>
    <row r="27" spans="1:7" x14ac:dyDescent="0.25">
      <c r="B27" s="64"/>
      <c r="C27" s="64"/>
      <c r="D27" s="64"/>
      <c r="E27" s="65"/>
    </row>
    <row r="28" spans="1:7" ht="15.6" x14ac:dyDescent="0.3">
      <c r="A28" s="57" t="s">
        <v>22</v>
      </c>
      <c r="B28" s="71">
        <v>43000</v>
      </c>
      <c r="C28" s="71">
        <v>58000</v>
      </c>
      <c r="D28" s="71">
        <v>90000</v>
      </c>
      <c r="E28" s="65">
        <f>55745</f>
        <v>55745</v>
      </c>
      <c r="F28" s="81">
        <f>D28-E28</f>
        <v>34255</v>
      </c>
    </row>
    <row r="29" spans="1:7" x14ac:dyDescent="0.25">
      <c r="B29" s="64"/>
      <c r="C29" s="64"/>
      <c r="D29" s="64"/>
      <c r="E29" s="65"/>
    </row>
    <row r="30" spans="1:7" ht="15.6" x14ac:dyDescent="0.3">
      <c r="A30" s="57" t="s">
        <v>23</v>
      </c>
      <c r="B30" s="64"/>
      <c r="C30" s="64"/>
      <c r="D30" s="64"/>
      <c r="E30" s="65"/>
    </row>
    <row r="31" spans="1:7" x14ac:dyDescent="0.25">
      <c r="A31" s="62" t="s">
        <v>26</v>
      </c>
      <c r="B31" s="64">
        <v>6300</v>
      </c>
      <c r="C31" s="64">
        <f>525*12</f>
        <v>6300</v>
      </c>
      <c r="D31" s="64">
        <v>6300</v>
      </c>
      <c r="E31" s="65"/>
    </row>
    <row r="32" spans="1:7" x14ac:dyDescent="0.25">
      <c r="A32" s="62" t="s">
        <v>27</v>
      </c>
      <c r="B32" s="64">
        <v>10000</v>
      </c>
      <c r="C32" s="64">
        <f>800*12</f>
        <v>9600</v>
      </c>
      <c r="D32" s="64">
        <v>12000</v>
      </c>
      <c r="E32" s="65"/>
    </row>
    <row r="33" spans="1:8" x14ac:dyDescent="0.25">
      <c r="A33" s="62" t="s">
        <v>28</v>
      </c>
      <c r="B33" s="64">
        <v>2600</v>
      </c>
      <c r="C33" s="64">
        <v>2600</v>
      </c>
      <c r="D33" s="64">
        <v>2600</v>
      </c>
      <c r="E33" s="65"/>
    </row>
    <row r="34" spans="1:8" x14ac:dyDescent="0.25">
      <c r="A34" s="62" t="s">
        <v>169</v>
      </c>
      <c r="B34" s="64">
        <v>0</v>
      </c>
      <c r="C34" s="64">
        <v>6000</v>
      </c>
      <c r="D34" s="64">
        <v>2500</v>
      </c>
      <c r="E34" s="65"/>
    </row>
    <row r="35" spans="1:8" ht="15.6" thickBot="1" x14ac:dyDescent="0.3">
      <c r="A35" s="62" t="s">
        <v>29</v>
      </c>
      <c r="B35" s="70">
        <v>3000</v>
      </c>
      <c r="C35" s="70">
        <v>2500</v>
      </c>
      <c r="D35" s="70">
        <v>3000</v>
      </c>
      <c r="E35" s="65"/>
    </row>
    <row r="36" spans="1:8" ht="15.6" x14ac:dyDescent="0.3">
      <c r="A36" s="57" t="s">
        <v>30</v>
      </c>
      <c r="B36" s="71">
        <f>SUM(B31:B35)</f>
        <v>21900</v>
      </c>
      <c r="C36" s="71">
        <f>SUM(C31:C35)</f>
        <v>27000</v>
      </c>
      <c r="D36" s="71">
        <f>SUM(D31:D35)</f>
        <v>26400</v>
      </c>
      <c r="E36" s="65"/>
    </row>
    <row r="37" spans="1:8" x14ac:dyDescent="0.25">
      <c r="B37" s="64"/>
      <c r="C37" s="64"/>
      <c r="D37" s="64"/>
      <c r="E37" s="65"/>
    </row>
    <row r="38" spans="1:8" ht="15.6" x14ac:dyDescent="0.3">
      <c r="A38" s="57" t="s">
        <v>32</v>
      </c>
      <c r="B38" s="64"/>
      <c r="C38" s="64"/>
      <c r="D38" s="64"/>
      <c r="E38" s="65"/>
    </row>
    <row r="39" spans="1:8" x14ac:dyDescent="0.25">
      <c r="A39" s="62" t="s">
        <v>33</v>
      </c>
      <c r="B39" s="64">
        <v>1500</v>
      </c>
      <c r="C39" s="64">
        <v>1600</v>
      </c>
      <c r="D39" s="64">
        <v>1600</v>
      </c>
      <c r="E39" s="65"/>
    </row>
    <row r="40" spans="1:8" ht="15.6" thickBot="1" x14ac:dyDescent="0.3">
      <c r="A40" s="62" t="s">
        <v>34</v>
      </c>
      <c r="B40" s="70">
        <v>13600</v>
      </c>
      <c r="C40" s="70">
        <v>12000</v>
      </c>
      <c r="D40" s="70">
        <v>13600</v>
      </c>
      <c r="E40" s="65"/>
    </row>
    <row r="41" spans="1:8" ht="15.6" x14ac:dyDescent="0.3">
      <c r="A41" s="57" t="s">
        <v>35</v>
      </c>
      <c r="B41" s="71">
        <f>SUM(B39:B40)</f>
        <v>15100</v>
      </c>
      <c r="C41" s="71">
        <f>SUM(C39:C40)</f>
        <v>13600</v>
      </c>
      <c r="D41" s="71">
        <f>SUM(D39:D40)</f>
        <v>15200</v>
      </c>
      <c r="E41" s="65"/>
    </row>
    <row r="42" spans="1:8" x14ac:dyDescent="0.25">
      <c r="B42" s="64"/>
      <c r="C42" s="64"/>
      <c r="D42" s="64"/>
      <c r="E42" s="65"/>
    </row>
    <row r="43" spans="1:8" ht="15.6" x14ac:dyDescent="0.3">
      <c r="A43" s="57" t="s">
        <v>175</v>
      </c>
      <c r="B43" s="71"/>
      <c r="C43" s="71">
        <f>457.01*12</f>
        <v>5484.12</v>
      </c>
      <c r="D43" s="71"/>
      <c r="E43" s="65"/>
    </row>
    <row r="44" spans="1:8" ht="16.2" thickBot="1" x14ac:dyDescent="0.35">
      <c r="A44" s="57" t="s">
        <v>70</v>
      </c>
      <c r="B44" s="72"/>
      <c r="C44" s="70">
        <v>0</v>
      </c>
      <c r="D44" s="72"/>
      <c r="E44" s="65"/>
      <c r="G44" s="71"/>
    </row>
    <row r="45" spans="1:8" ht="15.6" x14ac:dyDescent="0.3">
      <c r="A45" s="57" t="s">
        <v>83</v>
      </c>
      <c r="B45" s="68">
        <f>B41+B36+B28+B26+B18</f>
        <v>119010</v>
      </c>
      <c r="C45" s="68">
        <f>SUM(C41+C36+C28+C26+C18)</f>
        <v>147915</v>
      </c>
      <c r="D45" s="68">
        <f>D41+D36+D28+D26+D18</f>
        <v>152825</v>
      </c>
      <c r="E45" s="73"/>
    </row>
    <row r="46" spans="1:8" x14ac:dyDescent="0.25">
      <c r="B46" s="77">
        <v>20400</v>
      </c>
    </row>
    <row r="47" spans="1:8" ht="33.75" customHeight="1" x14ac:dyDescent="0.3">
      <c r="A47" s="106" t="s">
        <v>171</v>
      </c>
      <c r="B47" s="106"/>
      <c r="C47" s="107" t="s">
        <v>112</v>
      </c>
    </row>
    <row r="48" spans="1:8" ht="33.75" customHeight="1" x14ac:dyDescent="0.3">
      <c r="A48" s="108" t="s">
        <v>101</v>
      </c>
      <c r="B48" s="88">
        <v>3.49E-2</v>
      </c>
      <c r="C48" s="143">
        <f>SUM(D45*0.0349)/12</f>
        <v>444.46604166666663</v>
      </c>
      <c r="D48" s="159">
        <f>C48*4*12</f>
        <v>21334.37</v>
      </c>
      <c r="E48" s="81"/>
      <c r="H48" s="81"/>
    </row>
    <row r="49" spans="1:5" ht="68.55" customHeight="1" x14ac:dyDescent="0.3">
      <c r="A49" s="110" t="s">
        <v>102</v>
      </c>
      <c r="B49" s="88">
        <v>3.8600000000000002E-2</v>
      </c>
      <c r="C49" s="143">
        <f>SUM(D45*0.0386)/12</f>
        <v>491.58708333333334</v>
      </c>
      <c r="D49" s="159">
        <f>18*C49*12</f>
        <v>106182.81000000001</v>
      </c>
      <c r="E49" s="81"/>
    </row>
    <row r="50" spans="1:5" ht="33.75" customHeight="1" x14ac:dyDescent="0.3">
      <c r="A50" s="108" t="s">
        <v>103</v>
      </c>
      <c r="B50" s="88">
        <v>4.1399999999999999E-2</v>
      </c>
      <c r="C50" s="143">
        <f>SUM(D45*0.0414)/12</f>
        <v>527.24625000000003</v>
      </c>
      <c r="D50" s="159">
        <f>C50*4*12</f>
        <v>25307.82</v>
      </c>
      <c r="E50" s="81"/>
    </row>
    <row r="51" spans="1:5" ht="15.6" x14ac:dyDescent="0.3">
      <c r="D51" s="71">
        <f>D48+D49+D50</f>
        <v>152825</v>
      </c>
      <c r="E51" s="81"/>
    </row>
  </sheetData>
  <mergeCells count="1">
    <mergeCell ref="A1:D1"/>
  </mergeCells>
  <pageMargins left="0.25" right="0.28999999999999998" top="0.91" bottom="1" header="0.4" footer="0.5"/>
  <pageSetup scale="60" orientation="portrait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DB8D25-DAB6-420A-BF85-08B2F8DC62F9}">
  <sheetPr>
    <tabColor rgb="FFFFFF00"/>
  </sheetPr>
  <dimension ref="A1:O28"/>
  <sheetViews>
    <sheetView zoomScale="90" zoomScaleNormal="90" workbookViewId="0">
      <selection activeCell="G23" sqref="A20:G23"/>
    </sheetView>
  </sheetViews>
  <sheetFormatPr defaultColWidth="8.77734375" defaultRowHeight="13.2" x14ac:dyDescent="0.25"/>
  <cols>
    <col min="1" max="1" width="36.44140625" customWidth="1"/>
    <col min="2" max="2" width="13.77734375" customWidth="1"/>
    <col min="3" max="3" width="24.44140625" customWidth="1"/>
    <col min="4" max="4" width="19.21875" customWidth="1"/>
    <col min="5" max="5" width="23.44140625" customWidth="1"/>
    <col min="6" max="6" width="17" customWidth="1"/>
    <col min="7" max="8" width="19.77734375" customWidth="1"/>
    <col min="9" max="10" width="20.21875" customWidth="1"/>
    <col min="11" max="11" width="20.21875" style="3" customWidth="1"/>
    <col min="15" max="15" width="10.44140625" customWidth="1"/>
  </cols>
  <sheetData>
    <row r="1" spans="1:11" ht="13.8" thickBot="1" x14ac:dyDescent="0.3"/>
    <row r="2" spans="1:11" ht="38.25" customHeight="1" x14ac:dyDescent="0.3">
      <c r="A2" s="225" t="s">
        <v>172</v>
      </c>
      <c r="B2" s="226"/>
      <c r="C2" s="226"/>
      <c r="D2" s="226"/>
      <c r="E2" s="226"/>
      <c r="F2" s="226"/>
      <c r="G2" s="226"/>
      <c r="H2" s="227"/>
      <c r="I2" s="57"/>
      <c r="J2" s="57"/>
      <c r="K2"/>
    </row>
    <row r="3" spans="1:11" x14ac:dyDescent="0.25">
      <c r="A3" s="10" t="s">
        <v>44</v>
      </c>
      <c r="B3" s="11" t="s">
        <v>45</v>
      </c>
      <c r="C3" s="11" t="s">
        <v>45</v>
      </c>
      <c r="D3" s="12" t="s">
        <v>46</v>
      </c>
      <c r="E3" s="11" t="s">
        <v>47</v>
      </c>
      <c r="F3" s="11" t="s">
        <v>48</v>
      </c>
      <c r="G3" s="93">
        <v>1</v>
      </c>
      <c r="H3" s="56">
        <v>0.05</v>
      </c>
      <c r="K3"/>
    </row>
    <row r="4" spans="1:11" x14ac:dyDescent="0.25">
      <c r="A4" s="10"/>
      <c r="B4" s="11" t="s">
        <v>49</v>
      </c>
      <c r="C4" s="11" t="s">
        <v>50</v>
      </c>
      <c r="D4" s="12" t="s">
        <v>51</v>
      </c>
      <c r="E4" s="11" t="s">
        <v>173</v>
      </c>
      <c r="F4" s="11" t="s">
        <v>52</v>
      </c>
      <c r="G4" s="11" t="s">
        <v>174</v>
      </c>
      <c r="H4" s="13" t="s">
        <v>174</v>
      </c>
      <c r="K4"/>
    </row>
    <row r="5" spans="1:11" x14ac:dyDescent="0.25">
      <c r="A5" s="10"/>
      <c r="B5" s="11"/>
      <c r="C5" s="11"/>
      <c r="D5" s="12"/>
      <c r="E5" s="11"/>
      <c r="F5" s="11"/>
      <c r="G5" s="11"/>
      <c r="H5" s="13"/>
      <c r="K5"/>
    </row>
    <row r="6" spans="1:11" x14ac:dyDescent="0.25">
      <c r="A6" s="10" t="s">
        <v>59</v>
      </c>
      <c r="B6" s="11">
        <v>9</v>
      </c>
      <c r="C6" s="15">
        <v>27069</v>
      </c>
      <c r="D6" s="11">
        <v>0.13</v>
      </c>
      <c r="E6" s="32">
        <f>SUM(E16*D6)</f>
        <v>11050</v>
      </c>
      <c r="F6" s="14">
        <v>1</v>
      </c>
      <c r="G6" s="15">
        <f>(C6-E6)/F6</f>
        <v>16019</v>
      </c>
      <c r="H6" s="157">
        <f>10039*0.05</f>
        <v>501.95000000000005</v>
      </c>
      <c r="K6"/>
    </row>
    <row r="7" spans="1:11" x14ac:dyDescent="0.25">
      <c r="A7" s="10" t="s">
        <v>60</v>
      </c>
      <c r="B7" s="11">
        <v>12</v>
      </c>
      <c r="C7" s="15">
        <v>10000</v>
      </c>
      <c r="D7" s="11">
        <v>0.03</v>
      </c>
      <c r="E7" s="32">
        <f>SUM(E16*D7)</f>
        <v>2550</v>
      </c>
      <c r="F7" s="14">
        <v>1</v>
      </c>
      <c r="G7" s="15">
        <f t="shared" ref="G7:G14" si="0">(C7-E7)/F7</f>
        <v>7450</v>
      </c>
      <c r="H7" s="157">
        <f>6070*0.05</f>
        <v>303.5</v>
      </c>
      <c r="K7"/>
    </row>
    <row r="8" spans="1:11" x14ac:dyDescent="0.25">
      <c r="A8" s="10" t="s">
        <v>53</v>
      </c>
      <c r="B8" s="11">
        <v>8</v>
      </c>
      <c r="C8" s="15">
        <v>28000</v>
      </c>
      <c r="D8" s="11">
        <v>0.15</v>
      </c>
      <c r="E8" s="32">
        <f>SUM(E16*D8)</f>
        <v>12750</v>
      </c>
      <c r="F8" s="14">
        <v>3</v>
      </c>
      <c r="G8" s="15">
        <f t="shared" si="0"/>
        <v>5083.333333333333</v>
      </c>
      <c r="H8" s="157">
        <f>2087.5*0.05</f>
        <v>104.375</v>
      </c>
      <c r="K8"/>
    </row>
    <row r="9" spans="1:11" x14ac:dyDescent="0.25">
      <c r="A9" s="10" t="s">
        <v>61</v>
      </c>
      <c r="B9" s="11">
        <v>2</v>
      </c>
      <c r="C9" s="15">
        <v>1855</v>
      </c>
      <c r="D9" s="11">
        <v>0.01</v>
      </c>
      <c r="E9" s="32">
        <f>SUM(E16*D9)</f>
        <v>850</v>
      </c>
      <c r="F9" s="14">
        <v>2</v>
      </c>
      <c r="G9" s="15">
        <f t="shared" si="0"/>
        <v>502.5</v>
      </c>
      <c r="H9" s="157">
        <f>272.5*0.05</f>
        <v>13.625</v>
      </c>
      <c r="K9"/>
    </row>
    <row r="10" spans="1:11" x14ac:dyDescent="0.25">
      <c r="A10" s="10" t="s">
        <v>162</v>
      </c>
      <c r="B10" s="11">
        <v>40</v>
      </c>
      <c r="C10" s="15">
        <v>45000</v>
      </c>
      <c r="D10" s="11">
        <v>0.05</v>
      </c>
      <c r="E10" s="32">
        <v>0</v>
      </c>
      <c r="F10" s="14">
        <v>2</v>
      </c>
      <c r="G10" s="15">
        <f t="shared" si="0"/>
        <v>22500</v>
      </c>
      <c r="H10" s="157">
        <f>22500*0.05</f>
        <v>1125</v>
      </c>
      <c r="K10"/>
    </row>
    <row r="11" spans="1:11" x14ac:dyDescent="0.25">
      <c r="A11" s="10" t="s">
        <v>62</v>
      </c>
      <c r="B11" s="11">
        <v>5</v>
      </c>
      <c r="C11" s="15">
        <v>7000</v>
      </c>
      <c r="D11" s="11">
        <v>7.0000000000000007E-2</v>
      </c>
      <c r="E11" s="32">
        <v>0</v>
      </c>
      <c r="F11" s="14">
        <v>4</v>
      </c>
      <c r="G11" s="15">
        <f t="shared" si="0"/>
        <v>1750</v>
      </c>
      <c r="H11" s="157">
        <f>1750*0.05</f>
        <v>87.5</v>
      </c>
      <c r="K11"/>
    </row>
    <row r="12" spans="1:11" x14ac:dyDescent="0.25">
      <c r="A12" s="10" t="s">
        <v>63</v>
      </c>
      <c r="B12" s="11">
        <v>2</v>
      </c>
      <c r="C12" s="15">
        <v>3060</v>
      </c>
      <c r="D12" s="11">
        <v>0.01</v>
      </c>
      <c r="E12" s="32">
        <f>SUM(E16*D12)</f>
        <v>850</v>
      </c>
      <c r="F12" s="14">
        <v>2</v>
      </c>
      <c r="G12" s="15">
        <f t="shared" si="0"/>
        <v>1105</v>
      </c>
      <c r="H12" s="157">
        <f>875*0.05</f>
        <v>43.75</v>
      </c>
      <c r="K12"/>
    </row>
    <row r="13" spans="1:11" x14ac:dyDescent="0.25">
      <c r="A13" s="10" t="s">
        <v>64</v>
      </c>
      <c r="B13" s="11">
        <v>5</v>
      </c>
      <c r="C13" s="15">
        <v>48000</v>
      </c>
      <c r="D13" s="11">
        <v>0.12</v>
      </c>
      <c r="E13" s="32">
        <f>SUM(E16*D13)</f>
        <v>10200</v>
      </c>
      <c r="F13" s="14">
        <v>2</v>
      </c>
      <c r="G13" s="15">
        <f t="shared" si="0"/>
        <v>18900</v>
      </c>
      <c r="H13" s="157">
        <f>16140*0.05</f>
        <v>807</v>
      </c>
      <c r="K13"/>
    </row>
    <row r="14" spans="1:11" x14ac:dyDescent="0.25">
      <c r="A14" s="10" t="s">
        <v>54</v>
      </c>
      <c r="B14" s="11">
        <v>20</v>
      </c>
      <c r="C14" s="15">
        <v>300000</v>
      </c>
      <c r="D14" s="11">
        <v>0.41</v>
      </c>
      <c r="E14" s="32">
        <f>SUM(E16*D14)</f>
        <v>34850</v>
      </c>
      <c r="F14" s="14">
        <v>5</v>
      </c>
      <c r="G14" s="15">
        <f t="shared" si="0"/>
        <v>53030</v>
      </c>
      <c r="H14" s="157">
        <f>49258*0.05</f>
        <v>2462.9</v>
      </c>
      <c r="K14"/>
    </row>
    <row r="15" spans="1:11" x14ac:dyDescent="0.25">
      <c r="A15" s="10" t="s">
        <v>65</v>
      </c>
      <c r="B15" s="11">
        <v>5</v>
      </c>
      <c r="C15" s="15">
        <v>4000</v>
      </c>
      <c r="D15" s="11">
        <v>0.02</v>
      </c>
      <c r="E15" s="32">
        <f>SUM(E16*D15)</f>
        <v>1700</v>
      </c>
      <c r="F15" s="14">
        <v>2</v>
      </c>
      <c r="G15" s="15">
        <f>(C15-E15)/F15</f>
        <v>1150</v>
      </c>
      <c r="H15" s="157">
        <f>690*0.05</f>
        <v>34.5</v>
      </c>
      <c r="K15"/>
    </row>
    <row r="16" spans="1:11" ht="13.8" thickBot="1" x14ac:dyDescent="0.3">
      <c r="A16" s="17" t="s">
        <v>55</v>
      </c>
      <c r="B16" s="18"/>
      <c r="C16" s="19">
        <f>SUM(C6:C15)</f>
        <v>473984</v>
      </c>
      <c r="D16" s="20">
        <f>SUM(D6:D15)</f>
        <v>1</v>
      </c>
      <c r="E16" s="19">
        <v>85000</v>
      </c>
      <c r="F16" s="19"/>
      <c r="G16" s="19">
        <f>SUM(G6:G15)</f>
        <v>127489.83333333333</v>
      </c>
      <c r="H16" s="55">
        <f>SUM(H6:H15)</f>
        <v>5484.1</v>
      </c>
      <c r="K16"/>
    </row>
    <row r="18" spans="1:15" x14ac:dyDescent="0.25">
      <c r="G18" s="31"/>
      <c r="H18" s="31"/>
      <c r="I18" s="31">
        <f>SUM(H16/12)</f>
        <v>457.00833333333338</v>
      </c>
      <c r="J18" s="31"/>
    </row>
    <row r="19" spans="1:15" ht="24.75" customHeight="1" x14ac:dyDescent="0.25">
      <c r="A19" s="228" t="s">
        <v>1</v>
      </c>
      <c r="B19" s="228"/>
      <c r="C19" s="228"/>
      <c r="D19" s="228"/>
      <c r="E19" s="228"/>
      <c r="F19" s="228"/>
      <c r="G19" s="228"/>
      <c r="H19" s="3"/>
      <c r="I19" s="31"/>
      <c r="J19" s="31"/>
      <c r="K19" s="4"/>
    </row>
    <row r="20" spans="1:15" ht="100.5" customHeight="1" x14ac:dyDescent="0.25">
      <c r="A20" s="136" t="s">
        <v>56</v>
      </c>
      <c r="B20" s="136" t="s">
        <v>57</v>
      </c>
      <c r="C20" s="131" t="s">
        <v>112</v>
      </c>
      <c r="D20" s="137" t="s">
        <v>149</v>
      </c>
      <c r="E20" s="137" t="s">
        <v>68</v>
      </c>
      <c r="F20" s="137" t="s">
        <v>164</v>
      </c>
      <c r="G20" s="137" t="s">
        <v>163</v>
      </c>
      <c r="H20" s="46"/>
      <c r="K20"/>
    </row>
    <row r="21" spans="1:15" ht="18.75" customHeight="1" x14ac:dyDescent="0.3">
      <c r="A21" s="97" t="s">
        <v>101</v>
      </c>
      <c r="B21" s="98">
        <v>3.49E-2</v>
      </c>
      <c r="C21" s="134">
        <f>SUM('budget 2023'!C48)</f>
        <v>444.46604166666663</v>
      </c>
      <c r="D21" s="100">
        <f>G16*B21/12</f>
        <v>370.78293194444444</v>
      </c>
      <c r="E21" s="134">
        <f>SUM(C21+D21)</f>
        <v>815.24897361111107</v>
      </c>
      <c r="F21" s="134">
        <f>SUM(H16*B21)/12</f>
        <v>15.949590833333334</v>
      </c>
      <c r="G21" s="59">
        <f>C21+F21</f>
        <v>460.41563249999996</v>
      </c>
      <c r="H21" s="31"/>
      <c r="I21" s="160"/>
      <c r="K21"/>
    </row>
    <row r="22" spans="1:15" ht="45" x14ac:dyDescent="0.3">
      <c r="A22" s="97" t="s">
        <v>102</v>
      </c>
      <c r="B22" s="98">
        <v>3.8600000000000002E-2</v>
      </c>
      <c r="C22" s="134">
        <f>SUM('budget 2023'!C49)</f>
        <v>491.58708333333334</v>
      </c>
      <c r="D22" s="100">
        <f>G16*B22/12</f>
        <v>410.09229722222221</v>
      </c>
      <c r="E22" s="134">
        <f>SUM(C22+D22)</f>
        <v>901.67938055555555</v>
      </c>
      <c r="F22" s="134">
        <f>SUM(H16*B22)/12</f>
        <v>17.640521666666668</v>
      </c>
      <c r="G22" s="59">
        <f>SUM(F22+C22)</f>
        <v>509.22760499999998</v>
      </c>
      <c r="H22" s="31"/>
      <c r="I22" s="160"/>
      <c r="K22"/>
    </row>
    <row r="23" spans="1:15" ht="28.5" customHeight="1" x14ac:dyDescent="0.3">
      <c r="A23" s="97" t="s">
        <v>103</v>
      </c>
      <c r="B23" s="98">
        <v>4.1399999999999999E-2</v>
      </c>
      <c r="C23" s="134">
        <f>SUM('budget 2023'!C50)</f>
        <v>527.24625000000003</v>
      </c>
      <c r="D23" s="100">
        <f>G16*B23/12</f>
        <v>439.83992499999999</v>
      </c>
      <c r="E23" s="134">
        <f>SUM(C23+D23)</f>
        <v>967.08617500000003</v>
      </c>
      <c r="F23" s="134">
        <f>SUM(H16*B23)/12</f>
        <v>18.920145000000002</v>
      </c>
      <c r="G23" s="59">
        <f>F23+C23</f>
        <v>546.16639500000008</v>
      </c>
      <c r="H23" s="31"/>
      <c r="I23" s="160"/>
      <c r="K23"/>
    </row>
    <row r="24" spans="1:15" x14ac:dyDescent="0.25">
      <c r="G24" s="31"/>
      <c r="H24" s="31"/>
    </row>
    <row r="26" spans="1:15" ht="12.75" customHeight="1" x14ac:dyDescent="0.25">
      <c r="A26" s="207" t="s">
        <v>42</v>
      </c>
      <c r="B26" s="207"/>
      <c r="C26" s="207"/>
      <c r="D26" s="207"/>
      <c r="E26" s="207"/>
      <c r="F26" s="207"/>
      <c r="G26" s="207"/>
      <c r="H26" s="207"/>
      <c r="I26" s="207"/>
      <c r="J26" s="135"/>
    </row>
    <row r="27" spans="1:15" ht="45.75" customHeight="1" x14ac:dyDescent="0.25">
      <c r="A27" s="207"/>
      <c r="B27" s="207"/>
      <c r="C27" s="207"/>
      <c r="D27" s="207"/>
      <c r="E27" s="207"/>
      <c r="F27" s="207"/>
      <c r="G27" s="207"/>
      <c r="H27" s="207"/>
      <c r="I27" s="207"/>
      <c r="J27" s="135"/>
      <c r="O27" s="31"/>
    </row>
    <row r="28" spans="1:15" x14ac:dyDescent="0.25">
      <c r="O28" s="31"/>
    </row>
  </sheetData>
  <mergeCells count="3">
    <mergeCell ref="A2:H2"/>
    <mergeCell ref="A19:G19"/>
    <mergeCell ref="A26:I27"/>
  </mergeCells>
  <pageMargins left="0.75" right="0.2" top="1" bottom="1" header="0.5" footer="0.5"/>
  <pageSetup scale="59" orientation="landscape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92CE0D-FE88-4852-B88D-20F27B52CDE2}">
  <sheetPr>
    <tabColor rgb="FFFFFF00"/>
  </sheetPr>
  <dimension ref="A1:M51"/>
  <sheetViews>
    <sheetView view="pageBreakPreview" zoomScale="90" zoomScaleNormal="100" zoomScaleSheetLayoutView="90" workbookViewId="0">
      <selection activeCell="M46" sqref="M46"/>
    </sheetView>
  </sheetViews>
  <sheetFormatPr defaultColWidth="8.77734375" defaultRowHeight="15" x14ac:dyDescent="0.25"/>
  <cols>
    <col min="1" max="1" width="36.44140625" style="62" customWidth="1"/>
    <col min="2" max="2" width="20.77734375" style="77" bestFit="1" customWidth="1"/>
    <col min="3" max="3" width="28.44140625" style="77" customWidth="1"/>
    <col min="4" max="4" width="25.44140625" style="77" customWidth="1"/>
    <col min="5" max="5" width="15.44140625" style="62" customWidth="1"/>
    <col min="6" max="6" width="11.77734375" style="62" bestFit="1" customWidth="1"/>
    <col min="7" max="7" width="9.44140625" style="62" customWidth="1"/>
    <col min="8" max="16384" width="8.77734375" style="62"/>
  </cols>
  <sheetData>
    <row r="1" spans="1:5" ht="66" customHeight="1" x14ac:dyDescent="0.25">
      <c r="A1" s="223" t="s">
        <v>180</v>
      </c>
      <c r="B1" s="224"/>
      <c r="C1" s="224"/>
      <c r="D1" s="224"/>
    </row>
    <row r="3" spans="1:5" ht="15.6" x14ac:dyDescent="0.3">
      <c r="B3" s="61" t="s">
        <v>107</v>
      </c>
      <c r="C3" s="61" t="s">
        <v>37</v>
      </c>
      <c r="D3" s="61" t="s">
        <v>107</v>
      </c>
      <c r="E3" s="60"/>
    </row>
    <row r="4" spans="1:5" ht="15.6" x14ac:dyDescent="0.3">
      <c r="A4" s="57" t="s">
        <v>0</v>
      </c>
      <c r="B4" s="61">
        <v>2022</v>
      </c>
      <c r="C4" s="61">
        <v>2022</v>
      </c>
      <c r="D4" s="61">
        <v>2023</v>
      </c>
      <c r="E4" s="63"/>
    </row>
    <row r="5" spans="1:5" x14ac:dyDescent="0.25">
      <c r="A5" s="62" t="s">
        <v>1</v>
      </c>
      <c r="B5" s="64">
        <f>B45-B7</f>
        <v>118010</v>
      </c>
      <c r="C5" s="64">
        <v>123500</v>
      </c>
      <c r="D5" s="64">
        <f>D45-D7</f>
        <v>117825</v>
      </c>
      <c r="E5" s="65"/>
    </row>
    <row r="6" spans="1:5" x14ac:dyDescent="0.25">
      <c r="A6" s="62" t="s">
        <v>176</v>
      </c>
      <c r="B6" s="64">
        <v>0</v>
      </c>
      <c r="C6" s="64">
        <f>457.01*12</f>
        <v>5484.12</v>
      </c>
      <c r="D6" s="64"/>
      <c r="E6" s="65"/>
    </row>
    <row r="7" spans="1:5" ht="15.6" thickBot="1" x14ac:dyDescent="0.3">
      <c r="A7" s="62" t="s">
        <v>2</v>
      </c>
      <c r="B7" s="66">
        <v>1000</v>
      </c>
      <c r="C7" s="66">
        <v>350</v>
      </c>
      <c r="D7" s="66">
        <v>1000</v>
      </c>
      <c r="E7" s="65"/>
    </row>
    <row r="8" spans="1:5" ht="16.2" thickTop="1" x14ac:dyDescent="0.3">
      <c r="A8" s="67" t="s">
        <v>108</v>
      </c>
      <c r="B8" s="68">
        <f>SUM(B5:B7)</f>
        <v>119010</v>
      </c>
      <c r="C8" s="158">
        <f>SUM(C5:C7)</f>
        <v>129334.12</v>
      </c>
      <c r="D8" s="68">
        <f>SUM(D5:D7)</f>
        <v>118825</v>
      </c>
      <c r="E8" s="65"/>
    </row>
    <row r="9" spans="1:5" ht="15.6" x14ac:dyDescent="0.3">
      <c r="A9" s="57" t="s">
        <v>4</v>
      </c>
      <c r="B9" s="64"/>
      <c r="C9" s="64"/>
      <c r="D9" s="64"/>
      <c r="E9" s="65"/>
    </row>
    <row r="10" spans="1:5" ht="15.6" x14ac:dyDescent="0.3">
      <c r="A10" s="57" t="s">
        <v>5</v>
      </c>
      <c r="B10" s="64"/>
      <c r="C10" s="64"/>
      <c r="D10" s="64"/>
      <c r="E10" s="65"/>
    </row>
    <row r="11" spans="1:5" x14ac:dyDescent="0.25">
      <c r="A11" s="62" t="s">
        <v>38</v>
      </c>
      <c r="B11" s="64">
        <v>0</v>
      </c>
      <c r="C11" s="64">
        <v>10000</v>
      </c>
      <c r="D11" s="64">
        <v>2000</v>
      </c>
      <c r="E11" s="65"/>
    </row>
    <row r="12" spans="1:5" x14ac:dyDescent="0.25">
      <c r="A12" s="62" t="s">
        <v>7</v>
      </c>
      <c r="B12" s="64">
        <v>250</v>
      </c>
      <c r="C12" s="64">
        <v>425</v>
      </c>
      <c r="D12" s="64">
        <v>425</v>
      </c>
      <c r="E12" s="65"/>
    </row>
    <row r="13" spans="1:5" x14ac:dyDescent="0.25">
      <c r="A13" s="62" t="s">
        <v>82</v>
      </c>
      <c r="B13" s="64">
        <v>1000</v>
      </c>
      <c r="C13" s="64">
        <v>200</v>
      </c>
      <c r="D13" s="64">
        <v>500</v>
      </c>
      <c r="E13" s="65"/>
    </row>
    <row r="14" spans="1:5" x14ac:dyDescent="0.25">
      <c r="A14" s="62" t="s">
        <v>8</v>
      </c>
      <c r="B14" s="64">
        <v>300</v>
      </c>
      <c r="C14" s="64">
        <v>300</v>
      </c>
      <c r="D14" s="64">
        <v>300</v>
      </c>
      <c r="E14" s="65"/>
    </row>
    <row r="15" spans="1:5" x14ac:dyDescent="0.25">
      <c r="A15" s="62" t="s">
        <v>11</v>
      </c>
      <c r="B15" s="64">
        <v>100</v>
      </c>
      <c r="C15" s="64">
        <v>100</v>
      </c>
      <c r="D15" s="64">
        <v>100</v>
      </c>
      <c r="E15" s="65"/>
    </row>
    <row r="16" spans="1:5" x14ac:dyDescent="0.25">
      <c r="A16" s="62" t="s">
        <v>31</v>
      </c>
      <c r="B16" s="64">
        <v>320</v>
      </c>
      <c r="C16" s="64">
        <v>340</v>
      </c>
      <c r="D16" s="64">
        <v>350</v>
      </c>
      <c r="E16" s="65"/>
    </row>
    <row r="17" spans="1:7" ht="15.6" thickBot="1" x14ac:dyDescent="0.3">
      <c r="A17" s="62" t="s">
        <v>12</v>
      </c>
      <c r="B17" s="70">
        <v>100</v>
      </c>
      <c r="C17" s="70">
        <v>150</v>
      </c>
      <c r="D17" s="70">
        <v>150</v>
      </c>
      <c r="E17" s="65"/>
    </row>
    <row r="18" spans="1:7" ht="15.6" x14ac:dyDescent="0.3">
      <c r="A18" s="57" t="s">
        <v>13</v>
      </c>
      <c r="B18" s="71">
        <f>SUM(B11:B17)</f>
        <v>2070</v>
      </c>
      <c r="C18" s="71">
        <f>SUM(C11:C17)</f>
        <v>11515</v>
      </c>
      <c r="D18" s="71">
        <f>SUM(D11:D17)</f>
        <v>3825</v>
      </c>
      <c r="E18" s="65"/>
    </row>
    <row r="19" spans="1:7" x14ac:dyDescent="0.25">
      <c r="B19" s="64"/>
      <c r="C19" s="64"/>
      <c r="D19" s="64"/>
      <c r="E19" s="65"/>
    </row>
    <row r="20" spans="1:7" ht="15.6" x14ac:dyDescent="0.3">
      <c r="A20" s="57" t="s">
        <v>14</v>
      </c>
      <c r="B20" s="64"/>
      <c r="C20" s="64"/>
      <c r="D20" s="64"/>
      <c r="E20" s="65"/>
    </row>
    <row r="21" spans="1:7" x14ac:dyDescent="0.25">
      <c r="A21" s="62" t="s">
        <v>15</v>
      </c>
      <c r="B21" s="64">
        <v>22000</v>
      </c>
      <c r="C21" s="64">
        <v>22000</v>
      </c>
      <c r="D21" s="64">
        <v>1900</v>
      </c>
      <c r="E21" s="65"/>
    </row>
    <row r="22" spans="1:7" x14ac:dyDescent="0.25">
      <c r="A22" s="62" t="s">
        <v>17</v>
      </c>
      <c r="B22" s="64">
        <v>2000</v>
      </c>
      <c r="C22" s="64">
        <v>2000</v>
      </c>
      <c r="D22" s="64">
        <v>2000</v>
      </c>
      <c r="E22" s="65"/>
    </row>
    <row r="23" spans="1:7" x14ac:dyDescent="0.25">
      <c r="A23" s="62" t="s">
        <v>18</v>
      </c>
      <c r="B23" s="64">
        <v>6100</v>
      </c>
      <c r="C23" s="64">
        <v>6000</v>
      </c>
      <c r="D23" s="64">
        <v>6100</v>
      </c>
      <c r="E23" s="65"/>
    </row>
    <row r="24" spans="1:7" x14ac:dyDescent="0.25">
      <c r="A24" s="62" t="s">
        <v>19</v>
      </c>
      <c r="B24" s="64">
        <v>5400</v>
      </c>
      <c r="C24" s="64">
        <f>450*12</f>
        <v>5400</v>
      </c>
      <c r="D24" s="64">
        <v>5400</v>
      </c>
      <c r="E24" s="65"/>
      <c r="G24" s="62">
        <f>475*12</f>
        <v>5700</v>
      </c>
    </row>
    <row r="25" spans="1:7" ht="15.6" thickBot="1" x14ac:dyDescent="0.3">
      <c r="A25" s="62" t="s">
        <v>20</v>
      </c>
      <c r="B25" s="70">
        <f>120*12</f>
        <v>1440</v>
      </c>
      <c r="C25" s="70">
        <v>2400</v>
      </c>
      <c r="D25" s="70">
        <v>2000</v>
      </c>
      <c r="E25" s="65"/>
    </row>
    <row r="26" spans="1:7" ht="15.6" x14ac:dyDescent="0.3">
      <c r="A26" s="57" t="s">
        <v>21</v>
      </c>
      <c r="B26" s="71">
        <f>SUM(B21:B25)</f>
        <v>36940</v>
      </c>
      <c r="C26" s="71">
        <f>SUM(C21:C25)</f>
        <v>37800</v>
      </c>
      <c r="D26" s="71">
        <f>SUM(D21:D25)</f>
        <v>17400</v>
      </c>
      <c r="E26" s="65"/>
    </row>
    <row r="27" spans="1:7" x14ac:dyDescent="0.25">
      <c r="B27" s="64"/>
      <c r="C27" s="64"/>
      <c r="D27" s="64"/>
      <c r="E27" s="65"/>
    </row>
    <row r="28" spans="1:7" ht="15.6" x14ac:dyDescent="0.3">
      <c r="A28" s="57" t="s">
        <v>22</v>
      </c>
      <c r="B28" s="71">
        <v>43000</v>
      </c>
      <c r="C28" s="71">
        <v>58000</v>
      </c>
      <c r="D28" s="71">
        <v>56000</v>
      </c>
      <c r="E28" s="65">
        <f>55745</f>
        <v>55745</v>
      </c>
      <c r="F28" s="81">
        <f>D28-E28</f>
        <v>255</v>
      </c>
    </row>
    <row r="29" spans="1:7" x14ac:dyDescent="0.25">
      <c r="B29" s="64"/>
      <c r="C29" s="64"/>
      <c r="D29" s="64"/>
      <c r="E29" s="65"/>
    </row>
    <row r="30" spans="1:7" ht="15.6" x14ac:dyDescent="0.3">
      <c r="A30" s="57" t="s">
        <v>23</v>
      </c>
      <c r="B30" s="64"/>
      <c r="C30" s="64"/>
      <c r="D30" s="64"/>
      <c r="E30" s="65"/>
      <c r="F30" s="81">
        <f>90000-56000</f>
        <v>34000</v>
      </c>
    </row>
    <row r="31" spans="1:7" x14ac:dyDescent="0.25">
      <c r="A31" s="62" t="s">
        <v>26</v>
      </c>
      <c r="B31" s="64">
        <v>6300</v>
      </c>
      <c r="C31" s="64">
        <f>525*12</f>
        <v>6300</v>
      </c>
      <c r="D31" s="64">
        <v>6300</v>
      </c>
      <c r="E31" s="65"/>
    </row>
    <row r="32" spans="1:7" x14ac:dyDescent="0.25">
      <c r="A32" s="62" t="s">
        <v>27</v>
      </c>
      <c r="B32" s="64">
        <v>10000</v>
      </c>
      <c r="C32" s="64">
        <f>800*12</f>
        <v>9600</v>
      </c>
      <c r="D32" s="64">
        <v>12000</v>
      </c>
      <c r="E32" s="65"/>
    </row>
    <row r="33" spans="1:13" x14ac:dyDescent="0.25">
      <c r="A33" s="62" t="s">
        <v>28</v>
      </c>
      <c r="B33" s="64">
        <v>2600</v>
      </c>
      <c r="C33" s="64">
        <v>2600</v>
      </c>
      <c r="D33" s="64">
        <v>2600</v>
      </c>
      <c r="E33" s="65"/>
    </row>
    <row r="34" spans="1:13" x14ac:dyDescent="0.25">
      <c r="A34" s="62" t="s">
        <v>169</v>
      </c>
      <c r="B34" s="64">
        <v>0</v>
      </c>
      <c r="C34" s="64">
        <v>6000</v>
      </c>
      <c r="D34" s="64">
        <v>2500</v>
      </c>
      <c r="E34" s="65"/>
    </row>
    <row r="35" spans="1:13" ht="15.6" thickBot="1" x14ac:dyDescent="0.3">
      <c r="A35" s="62" t="s">
        <v>29</v>
      </c>
      <c r="B35" s="70">
        <v>3000</v>
      </c>
      <c r="C35" s="70">
        <v>2500</v>
      </c>
      <c r="D35" s="70">
        <v>3000</v>
      </c>
      <c r="E35" s="65"/>
    </row>
    <row r="36" spans="1:13" ht="15.6" x14ac:dyDescent="0.3">
      <c r="A36" s="57" t="s">
        <v>30</v>
      </c>
      <c r="B36" s="71">
        <f>SUM(B31:B35)</f>
        <v>21900</v>
      </c>
      <c r="C36" s="71">
        <f>SUM(C31:C35)</f>
        <v>27000</v>
      </c>
      <c r="D36" s="71">
        <f>SUM(D31:D35)</f>
        <v>26400</v>
      </c>
      <c r="E36" s="65"/>
    </row>
    <row r="37" spans="1:13" x14ac:dyDescent="0.25">
      <c r="B37" s="64"/>
      <c r="C37" s="64"/>
      <c r="D37" s="64"/>
      <c r="E37" s="65"/>
    </row>
    <row r="38" spans="1:13" ht="15.6" x14ac:dyDescent="0.3">
      <c r="A38" s="57" t="s">
        <v>32</v>
      </c>
      <c r="B38" s="64"/>
      <c r="C38" s="64"/>
      <c r="D38" s="64"/>
      <c r="E38" s="65"/>
    </row>
    <row r="39" spans="1:13" x14ac:dyDescent="0.25">
      <c r="A39" s="62" t="s">
        <v>33</v>
      </c>
      <c r="B39" s="64">
        <v>1500</v>
      </c>
      <c r="C39" s="64">
        <v>1600</v>
      </c>
      <c r="D39" s="64">
        <v>1600</v>
      </c>
      <c r="E39" s="65"/>
    </row>
    <row r="40" spans="1:13" ht="15.6" thickBot="1" x14ac:dyDescent="0.3">
      <c r="A40" s="62" t="s">
        <v>34</v>
      </c>
      <c r="B40" s="70">
        <v>13600</v>
      </c>
      <c r="C40" s="70">
        <v>12000</v>
      </c>
      <c r="D40" s="70">
        <v>13600</v>
      </c>
      <c r="E40" s="65"/>
    </row>
    <row r="41" spans="1:13" ht="15.6" x14ac:dyDescent="0.3">
      <c r="A41" s="57" t="s">
        <v>35</v>
      </c>
      <c r="B41" s="71">
        <f>SUM(B39:B40)</f>
        <v>15100</v>
      </c>
      <c r="C41" s="71">
        <f>SUM(C39:C40)</f>
        <v>13600</v>
      </c>
      <c r="D41" s="71">
        <f>SUM(D39:D40)</f>
        <v>15200</v>
      </c>
      <c r="E41" s="65"/>
    </row>
    <row r="42" spans="1:13" x14ac:dyDescent="0.25">
      <c r="B42" s="64"/>
      <c r="C42" s="64"/>
      <c r="D42" s="64"/>
      <c r="E42" s="65"/>
      <c r="H42" s="62">
        <f>36000/12</f>
        <v>3000</v>
      </c>
    </row>
    <row r="43" spans="1:13" ht="15.6" x14ac:dyDescent="0.3">
      <c r="A43" s="57" t="s">
        <v>175</v>
      </c>
      <c r="B43" s="71"/>
      <c r="C43" s="71">
        <f>457.01*12</f>
        <v>5484.12</v>
      </c>
      <c r="D43" s="71"/>
      <c r="E43" s="65"/>
      <c r="H43" s="62">
        <f>2700/8</f>
        <v>337.5</v>
      </c>
    </row>
    <row r="44" spans="1:13" ht="16.2" thickBot="1" x14ac:dyDescent="0.35">
      <c r="A44" s="57" t="s">
        <v>70</v>
      </c>
      <c r="B44" s="72"/>
      <c r="C44" s="70">
        <v>0</v>
      </c>
      <c r="D44" s="72"/>
      <c r="E44" s="65"/>
      <c r="G44" s="71"/>
    </row>
    <row r="45" spans="1:13" ht="15.6" x14ac:dyDescent="0.3">
      <c r="A45" s="57" t="s">
        <v>83</v>
      </c>
      <c r="B45" s="68">
        <f>B41+B36+B28+B26+B18</f>
        <v>119010</v>
      </c>
      <c r="C45" s="68">
        <f>SUM(C41+C36+C28+C26+C18)</f>
        <v>147915</v>
      </c>
      <c r="D45" s="68">
        <f>D41+D36+D28+D26+D18</f>
        <v>118825</v>
      </c>
      <c r="E45" s="73"/>
      <c r="M45" s="62">
        <f>150000/108/26</f>
        <v>53.418803418803421</v>
      </c>
    </row>
    <row r="46" spans="1:13" x14ac:dyDescent="0.25">
      <c r="B46" s="77">
        <v>20400</v>
      </c>
    </row>
    <row r="47" spans="1:13" ht="33.75" customHeight="1" x14ac:dyDescent="0.3">
      <c r="A47" s="106" t="s">
        <v>171</v>
      </c>
      <c r="B47" s="106"/>
      <c r="C47" s="107" t="s">
        <v>112</v>
      </c>
    </row>
    <row r="48" spans="1:13" ht="33.75" customHeight="1" x14ac:dyDescent="0.3">
      <c r="A48" s="108" t="s">
        <v>101</v>
      </c>
      <c r="B48" s="88">
        <v>3.49E-2</v>
      </c>
      <c r="C48" s="143">
        <f>SUM(D45*0.0349)/12</f>
        <v>345.58270833333336</v>
      </c>
      <c r="D48" s="159">
        <f>C48*4*12</f>
        <v>16587.97</v>
      </c>
      <c r="E48" s="81"/>
      <c r="H48" s="81"/>
    </row>
    <row r="49" spans="1:5" ht="68.55" customHeight="1" x14ac:dyDescent="0.3">
      <c r="A49" s="110" t="s">
        <v>102</v>
      </c>
      <c r="B49" s="88">
        <v>3.8600000000000002E-2</v>
      </c>
      <c r="C49" s="143">
        <f>SUM(D45*0.0386)/12</f>
        <v>382.22041666666672</v>
      </c>
      <c r="D49" s="159">
        <f>18*C49*12</f>
        <v>82559.610000000015</v>
      </c>
      <c r="E49" s="81"/>
    </row>
    <row r="50" spans="1:5" ht="33.75" customHeight="1" x14ac:dyDescent="0.3">
      <c r="A50" s="108" t="s">
        <v>103</v>
      </c>
      <c r="B50" s="88">
        <v>4.1399999999999999E-2</v>
      </c>
      <c r="C50" s="143">
        <f>SUM(D45*0.0414)/12</f>
        <v>409.94624999999996</v>
      </c>
      <c r="D50" s="159">
        <f>C50*4*12</f>
        <v>19677.419999999998</v>
      </c>
      <c r="E50" s="81"/>
    </row>
    <row r="51" spans="1:5" ht="15.6" x14ac:dyDescent="0.3">
      <c r="D51" s="71">
        <f>D48+D49+D50</f>
        <v>118825.00000000001</v>
      </c>
      <c r="E51" s="81"/>
    </row>
  </sheetData>
  <mergeCells count="1">
    <mergeCell ref="A1:D1"/>
  </mergeCells>
  <pageMargins left="0.25" right="0.28999999999999998" top="0.91" bottom="1" header="0.4" footer="0.5"/>
  <pageSetup scale="60" orientation="portrait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A091AC-8194-4DE9-8C58-46DC20B78300}">
  <sheetPr>
    <tabColor rgb="FFFFFF00"/>
  </sheetPr>
  <dimension ref="A1:O28"/>
  <sheetViews>
    <sheetView zoomScale="90" zoomScaleNormal="90" workbookViewId="0">
      <selection activeCell="G23" sqref="A20:G23"/>
    </sheetView>
  </sheetViews>
  <sheetFormatPr defaultColWidth="8.77734375" defaultRowHeight="13.2" x14ac:dyDescent="0.25"/>
  <cols>
    <col min="1" max="1" width="36.44140625" customWidth="1"/>
    <col min="2" max="2" width="13.77734375" customWidth="1"/>
    <col min="3" max="3" width="24.44140625" customWidth="1"/>
    <col min="4" max="4" width="19.21875" customWidth="1"/>
    <col min="5" max="5" width="23.44140625" customWidth="1"/>
    <col min="6" max="6" width="17" customWidth="1"/>
    <col min="7" max="8" width="19.77734375" customWidth="1"/>
    <col min="9" max="10" width="20.21875" customWidth="1"/>
    <col min="11" max="11" width="20.21875" style="3" customWidth="1"/>
    <col min="15" max="15" width="10.44140625" customWidth="1"/>
  </cols>
  <sheetData>
    <row r="1" spans="1:11" ht="13.8" thickBot="1" x14ac:dyDescent="0.3"/>
    <row r="2" spans="1:11" ht="38.25" customHeight="1" x14ac:dyDescent="0.3">
      <c r="A2" s="225" t="s">
        <v>172</v>
      </c>
      <c r="B2" s="226"/>
      <c r="C2" s="226"/>
      <c r="D2" s="226"/>
      <c r="E2" s="226"/>
      <c r="F2" s="226"/>
      <c r="G2" s="226"/>
      <c r="H2" s="227"/>
      <c r="I2" s="57"/>
      <c r="J2" s="57"/>
      <c r="K2"/>
    </row>
    <row r="3" spans="1:11" x14ac:dyDescent="0.25">
      <c r="A3" s="10" t="s">
        <v>44</v>
      </c>
      <c r="B3" s="11" t="s">
        <v>45</v>
      </c>
      <c r="C3" s="11" t="s">
        <v>45</v>
      </c>
      <c r="D3" s="12" t="s">
        <v>46</v>
      </c>
      <c r="E3" s="11" t="s">
        <v>47</v>
      </c>
      <c r="F3" s="11" t="s">
        <v>48</v>
      </c>
      <c r="G3" s="93">
        <v>1</v>
      </c>
      <c r="H3" s="56">
        <v>0.05</v>
      </c>
      <c r="K3"/>
    </row>
    <row r="4" spans="1:11" x14ac:dyDescent="0.25">
      <c r="A4" s="10"/>
      <c r="B4" s="11" t="s">
        <v>49</v>
      </c>
      <c r="C4" s="11" t="s">
        <v>50</v>
      </c>
      <c r="D4" s="12" t="s">
        <v>51</v>
      </c>
      <c r="E4" s="11" t="s">
        <v>173</v>
      </c>
      <c r="F4" s="11" t="s">
        <v>52</v>
      </c>
      <c r="G4" s="11" t="s">
        <v>174</v>
      </c>
      <c r="H4" s="13" t="s">
        <v>174</v>
      </c>
      <c r="K4"/>
    </row>
    <row r="5" spans="1:11" x14ac:dyDescent="0.25">
      <c r="A5" s="10"/>
      <c r="B5" s="11"/>
      <c r="C5" s="11"/>
      <c r="D5" s="12"/>
      <c r="E5" s="11"/>
      <c r="F5" s="11"/>
      <c r="G5" s="11"/>
      <c r="H5" s="13"/>
      <c r="K5"/>
    </row>
    <row r="6" spans="1:11" x14ac:dyDescent="0.25">
      <c r="A6" s="10" t="s">
        <v>59</v>
      </c>
      <c r="B6" s="11">
        <v>9</v>
      </c>
      <c r="C6" s="15">
        <v>27069</v>
      </c>
      <c r="D6" s="11">
        <v>0.13</v>
      </c>
      <c r="E6" s="32">
        <f>SUM(E16*D6)</f>
        <v>11050</v>
      </c>
      <c r="F6" s="14">
        <v>1</v>
      </c>
      <c r="G6" s="15">
        <f>(C6-E6)/F6</f>
        <v>16019</v>
      </c>
      <c r="H6" s="157">
        <f>10039*0.05</f>
        <v>501.95000000000005</v>
      </c>
      <c r="K6"/>
    </row>
    <row r="7" spans="1:11" x14ac:dyDescent="0.25">
      <c r="A7" s="10" t="s">
        <v>60</v>
      </c>
      <c r="B7" s="11">
        <v>12</v>
      </c>
      <c r="C7" s="15">
        <v>10000</v>
      </c>
      <c r="D7" s="11">
        <v>0.03</v>
      </c>
      <c r="E7" s="32">
        <f>SUM(E16*D7)</f>
        <v>2550</v>
      </c>
      <c r="F7" s="14">
        <v>1</v>
      </c>
      <c r="G7" s="15">
        <f t="shared" ref="G7:G14" si="0">(C7-E7)/F7</f>
        <v>7450</v>
      </c>
      <c r="H7" s="157">
        <f>6070*0.05</f>
        <v>303.5</v>
      </c>
      <c r="K7"/>
    </row>
    <row r="8" spans="1:11" x14ac:dyDescent="0.25">
      <c r="A8" s="10" t="s">
        <v>53</v>
      </c>
      <c r="B8" s="11">
        <v>8</v>
      </c>
      <c r="C8" s="15">
        <v>28000</v>
      </c>
      <c r="D8" s="11">
        <v>0.15</v>
      </c>
      <c r="E8" s="32">
        <f>SUM(E16*D8)</f>
        <v>12750</v>
      </c>
      <c r="F8" s="14">
        <v>3</v>
      </c>
      <c r="G8" s="15">
        <f t="shared" si="0"/>
        <v>5083.333333333333</v>
      </c>
      <c r="H8" s="157">
        <f>2087.5*0.05</f>
        <v>104.375</v>
      </c>
      <c r="K8"/>
    </row>
    <row r="9" spans="1:11" x14ac:dyDescent="0.25">
      <c r="A9" s="10" t="s">
        <v>61</v>
      </c>
      <c r="B9" s="11">
        <v>2</v>
      </c>
      <c r="C9" s="15">
        <v>1855</v>
      </c>
      <c r="D9" s="11">
        <v>0.01</v>
      </c>
      <c r="E9" s="32">
        <f>SUM(E16*D9)</f>
        <v>850</v>
      </c>
      <c r="F9" s="14">
        <v>2</v>
      </c>
      <c r="G9" s="15">
        <f t="shared" si="0"/>
        <v>502.5</v>
      </c>
      <c r="H9" s="157">
        <f>272.5*0.05</f>
        <v>13.625</v>
      </c>
      <c r="K9"/>
    </row>
    <row r="10" spans="1:11" x14ac:dyDescent="0.25">
      <c r="A10" s="10" t="s">
        <v>162</v>
      </c>
      <c r="B10" s="11">
        <v>40</v>
      </c>
      <c r="C10" s="15">
        <v>45000</v>
      </c>
      <c r="D10" s="11">
        <v>0.05</v>
      </c>
      <c r="E10" s="32">
        <v>0</v>
      </c>
      <c r="F10" s="14">
        <v>2</v>
      </c>
      <c r="G10" s="15">
        <f t="shared" si="0"/>
        <v>22500</v>
      </c>
      <c r="H10" s="157">
        <f>22500*0.05</f>
        <v>1125</v>
      </c>
      <c r="K10"/>
    </row>
    <row r="11" spans="1:11" x14ac:dyDescent="0.25">
      <c r="A11" s="10" t="s">
        <v>62</v>
      </c>
      <c r="B11" s="11">
        <v>5</v>
      </c>
      <c r="C11" s="15">
        <v>7000</v>
      </c>
      <c r="D11" s="11">
        <v>7.0000000000000007E-2</v>
      </c>
      <c r="E11" s="32">
        <v>0</v>
      </c>
      <c r="F11" s="14">
        <v>4</v>
      </c>
      <c r="G11" s="15">
        <f t="shared" si="0"/>
        <v>1750</v>
      </c>
      <c r="H11" s="157">
        <f>1750*0.05</f>
        <v>87.5</v>
      </c>
      <c r="K11"/>
    </row>
    <row r="12" spans="1:11" x14ac:dyDescent="0.25">
      <c r="A12" s="10" t="s">
        <v>63</v>
      </c>
      <c r="B12" s="11">
        <v>2</v>
      </c>
      <c r="C12" s="15">
        <v>3060</v>
      </c>
      <c r="D12" s="11">
        <v>0.01</v>
      </c>
      <c r="E12" s="32">
        <f>SUM(E16*D12)</f>
        <v>850</v>
      </c>
      <c r="F12" s="14">
        <v>2</v>
      </c>
      <c r="G12" s="15">
        <f t="shared" si="0"/>
        <v>1105</v>
      </c>
      <c r="H12" s="157">
        <f>875*0.05</f>
        <v>43.75</v>
      </c>
      <c r="K12"/>
    </row>
    <row r="13" spans="1:11" x14ac:dyDescent="0.25">
      <c r="A13" s="10" t="s">
        <v>64</v>
      </c>
      <c r="B13" s="11">
        <v>5</v>
      </c>
      <c r="C13" s="15">
        <v>48000</v>
      </c>
      <c r="D13" s="11">
        <v>0.12</v>
      </c>
      <c r="E13" s="32">
        <f>SUM(E16*D13)</f>
        <v>10200</v>
      </c>
      <c r="F13" s="14">
        <v>2</v>
      </c>
      <c r="G13" s="15">
        <f t="shared" si="0"/>
        <v>18900</v>
      </c>
      <c r="H13" s="157">
        <f>16140*0.05</f>
        <v>807</v>
      </c>
      <c r="K13"/>
    </row>
    <row r="14" spans="1:11" x14ac:dyDescent="0.25">
      <c r="A14" s="10" t="s">
        <v>54</v>
      </c>
      <c r="B14" s="11">
        <v>20</v>
      </c>
      <c r="C14" s="15">
        <v>300000</v>
      </c>
      <c r="D14" s="11">
        <v>0.41</v>
      </c>
      <c r="E14" s="32">
        <f>SUM(E16*D14)</f>
        <v>34850</v>
      </c>
      <c r="F14" s="14">
        <v>5</v>
      </c>
      <c r="G14" s="15">
        <f t="shared" si="0"/>
        <v>53030</v>
      </c>
      <c r="H14" s="157">
        <f>49258*0.05</f>
        <v>2462.9</v>
      </c>
      <c r="K14"/>
    </row>
    <row r="15" spans="1:11" x14ac:dyDescent="0.25">
      <c r="A15" s="10" t="s">
        <v>65</v>
      </c>
      <c r="B15" s="11">
        <v>5</v>
      </c>
      <c r="C15" s="15">
        <v>4000</v>
      </c>
      <c r="D15" s="11">
        <v>0.02</v>
      </c>
      <c r="E15" s="32">
        <f>SUM(E16*D15)</f>
        <v>1700</v>
      </c>
      <c r="F15" s="14">
        <v>2</v>
      </c>
      <c r="G15" s="15">
        <f>(C15-E15)/F15</f>
        <v>1150</v>
      </c>
      <c r="H15" s="157">
        <f>690*0.05</f>
        <v>34.5</v>
      </c>
      <c r="K15"/>
    </row>
    <row r="16" spans="1:11" ht="13.8" thickBot="1" x14ac:dyDescent="0.3">
      <c r="A16" s="17" t="s">
        <v>55</v>
      </c>
      <c r="B16" s="18"/>
      <c r="C16" s="19">
        <f>SUM(C6:C15)</f>
        <v>473984</v>
      </c>
      <c r="D16" s="20">
        <f>SUM(D6:D15)</f>
        <v>1</v>
      </c>
      <c r="E16" s="19">
        <v>85000</v>
      </c>
      <c r="F16" s="19"/>
      <c r="G16" s="19">
        <f>SUM(G6:G15)</f>
        <v>127489.83333333333</v>
      </c>
      <c r="H16" s="55">
        <f>SUM(H6:H15)</f>
        <v>5484.1</v>
      </c>
      <c r="K16"/>
    </row>
    <row r="18" spans="1:15" x14ac:dyDescent="0.25">
      <c r="G18" s="31"/>
      <c r="H18" s="31"/>
      <c r="I18" s="31">
        <f>SUM(H16/12)</f>
        <v>457.00833333333338</v>
      </c>
      <c r="J18" s="31"/>
    </row>
    <row r="19" spans="1:15" ht="24.75" customHeight="1" x14ac:dyDescent="0.25">
      <c r="A19" s="228" t="s">
        <v>1</v>
      </c>
      <c r="B19" s="228"/>
      <c r="C19" s="228"/>
      <c r="D19" s="228"/>
      <c r="E19" s="228"/>
      <c r="F19" s="228"/>
      <c r="G19" s="228"/>
      <c r="H19" s="3"/>
      <c r="I19" s="31"/>
      <c r="J19" s="31"/>
      <c r="K19" s="4"/>
    </row>
    <row r="20" spans="1:15" ht="100.5" customHeight="1" x14ac:dyDescent="0.25">
      <c r="A20" s="136" t="s">
        <v>56</v>
      </c>
      <c r="B20" s="136" t="s">
        <v>57</v>
      </c>
      <c r="C20" s="131" t="s">
        <v>112</v>
      </c>
      <c r="D20" s="137" t="s">
        <v>149</v>
      </c>
      <c r="E20" s="137" t="s">
        <v>68</v>
      </c>
      <c r="F20" s="137" t="s">
        <v>164</v>
      </c>
      <c r="G20" s="137" t="s">
        <v>163</v>
      </c>
      <c r="H20" s="46"/>
      <c r="K20"/>
    </row>
    <row r="21" spans="1:15" ht="18.75" customHeight="1" x14ac:dyDescent="0.3">
      <c r="A21" s="97" t="s">
        <v>101</v>
      </c>
      <c r="B21" s="98">
        <v>3.49E-2</v>
      </c>
      <c r="C21" s="134">
        <f>'budget 2023 (2)'!C48</f>
        <v>345.58270833333336</v>
      </c>
      <c r="D21" s="100">
        <f>G16*B21/12</f>
        <v>370.78293194444444</v>
      </c>
      <c r="E21" s="134">
        <f>SUM(C21+D21)</f>
        <v>716.36564027777786</v>
      </c>
      <c r="F21" s="134">
        <f>SUM(H16*B21)/12</f>
        <v>15.949590833333334</v>
      </c>
      <c r="G21" s="59">
        <f>C21+F21</f>
        <v>361.53229916666669</v>
      </c>
      <c r="H21" s="31"/>
      <c r="I21" s="160"/>
      <c r="K21"/>
    </row>
    <row r="22" spans="1:15" ht="45" x14ac:dyDescent="0.3">
      <c r="A22" s="97" t="s">
        <v>102</v>
      </c>
      <c r="B22" s="98">
        <v>3.8600000000000002E-2</v>
      </c>
      <c r="C22" s="134">
        <f>'budget 2023 (2)'!C49</f>
        <v>382.22041666666672</v>
      </c>
      <c r="D22" s="100">
        <f>G16*B22/12</f>
        <v>410.09229722222221</v>
      </c>
      <c r="E22" s="134">
        <f>SUM(C22+D22)</f>
        <v>792.31271388888899</v>
      </c>
      <c r="F22" s="134">
        <f>SUM(H16*B22)/12</f>
        <v>17.640521666666668</v>
      </c>
      <c r="G22" s="59">
        <f>SUM(F22+C22)</f>
        <v>399.86093833333337</v>
      </c>
      <c r="H22" s="31"/>
      <c r="I22" s="160"/>
      <c r="K22"/>
    </row>
    <row r="23" spans="1:15" ht="28.5" customHeight="1" x14ac:dyDescent="0.3">
      <c r="A23" s="97" t="s">
        <v>103</v>
      </c>
      <c r="B23" s="98">
        <v>4.1399999999999999E-2</v>
      </c>
      <c r="C23" s="134">
        <f>'budget 2023 (2)'!C50</f>
        <v>409.94624999999996</v>
      </c>
      <c r="D23" s="100">
        <f>G16*B23/12</f>
        <v>439.83992499999999</v>
      </c>
      <c r="E23" s="134">
        <f>SUM(C23+D23)</f>
        <v>849.78617499999996</v>
      </c>
      <c r="F23" s="134">
        <f>SUM(H16*B23)/12</f>
        <v>18.920145000000002</v>
      </c>
      <c r="G23" s="59">
        <f>F23+C23</f>
        <v>428.86639499999995</v>
      </c>
      <c r="H23" s="31"/>
      <c r="I23" s="160"/>
      <c r="K23"/>
    </row>
    <row r="24" spans="1:15" x14ac:dyDescent="0.25">
      <c r="G24" s="31"/>
      <c r="H24" s="31"/>
    </row>
    <row r="26" spans="1:15" ht="12.75" customHeight="1" x14ac:dyDescent="0.25">
      <c r="A26" s="207" t="s">
        <v>42</v>
      </c>
      <c r="B26" s="207"/>
      <c r="C26" s="207"/>
      <c r="D26" s="207"/>
      <c r="E26" s="207"/>
      <c r="F26" s="207"/>
      <c r="G26" s="207"/>
      <c r="H26" s="207"/>
      <c r="I26" s="207"/>
      <c r="J26" s="135"/>
    </row>
    <row r="27" spans="1:15" ht="45.75" customHeight="1" x14ac:dyDescent="0.25">
      <c r="A27" s="207"/>
      <c r="B27" s="207"/>
      <c r="C27" s="207"/>
      <c r="D27" s="207"/>
      <c r="E27" s="207"/>
      <c r="F27" s="207"/>
      <c r="G27" s="207"/>
      <c r="H27" s="207"/>
      <c r="I27" s="207"/>
      <c r="J27" s="135"/>
      <c r="O27" s="31"/>
    </row>
    <row r="28" spans="1:15" x14ac:dyDescent="0.25">
      <c r="O28" s="31"/>
    </row>
  </sheetData>
  <mergeCells count="3">
    <mergeCell ref="A2:H2"/>
    <mergeCell ref="A19:G19"/>
    <mergeCell ref="A26:I27"/>
  </mergeCells>
  <pageMargins left="0.75" right="0.2" top="1" bottom="1" header="0.5" footer="0.5"/>
  <pageSetup scale="59" orientation="landscape" r:id="rId1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746B13-CDCF-41DB-98E4-F7E20BDC4759}">
  <sheetPr>
    <tabColor rgb="FFFFFF00"/>
  </sheetPr>
  <dimension ref="A1:O28"/>
  <sheetViews>
    <sheetView topLeftCell="A4" zoomScaleNormal="100" workbookViewId="0">
      <selection activeCell="I20" sqref="I20"/>
    </sheetView>
  </sheetViews>
  <sheetFormatPr defaultColWidth="8.77734375" defaultRowHeight="13.2" x14ac:dyDescent="0.25"/>
  <cols>
    <col min="1" max="1" width="36.44140625" customWidth="1"/>
    <col min="2" max="2" width="13.77734375" customWidth="1"/>
    <col min="3" max="3" width="24.44140625" customWidth="1"/>
    <col min="4" max="4" width="19.21875" customWidth="1"/>
    <col min="5" max="5" width="23.44140625" customWidth="1"/>
    <col min="6" max="6" width="17" customWidth="1"/>
    <col min="7" max="8" width="19.77734375" customWidth="1"/>
    <col min="9" max="10" width="20.21875" customWidth="1"/>
    <col min="11" max="11" width="20.21875" style="3" customWidth="1"/>
    <col min="15" max="15" width="10.44140625" customWidth="1"/>
  </cols>
  <sheetData>
    <row r="1" spans="1:11" ht="13.8" thickBot="1" x14ac:dyDescent="0.3"/>
    <row r="2" spans="1:11" ht="38.25" customHeight="1" x14ac:dyDescent="0.3">
      <c r="A2" s="225" t="s">
        <v>183</v>
      </c>
      <c r="B2" s="226"/>
      <c r="C2" s="226"/>
      <c r="D2" s="226"/>
      <c r="E2" s="226"/>
      <c r="F2" s="226"/>
      <c r="G2" s="226"/>
      <c r="H2" s="227"/>
      <c r="I2" s="57"/>
      <c r="J2" s="57"/>
      <c r="K2"/>
    </row>
    <row r="3" spans="1:11" x14ac:dyDescent="0.25">
      <c r="A3" s="10" t="s">
        <v>44</v>
      </c>
      <c r="B3" s="11" t="s">
        <v>45</v>
      </c>
      <c r="C3" s="11" t="s">
        <v>45</v>
      </c>
      <c r="D3" s="12" t="s">
        <v>46</v>
      </c>
      <c r="E3" s="11" t="s">
        <v>47</v>
      </c>
      <c r="F3" s="11" t="s">
        <v>48</v>
      </c>
      <c r="G3" s="93">
        <v>1</v>
      </c>
      <c r="H3" s="56">
        <v>0.15</v>
      </c>
      <c r="K3"/>
    </row>
    <row r="4" spans="1:11" x14ac:dyDescent="0.25">
      <c r="A4" s="10"/>
      <c r="B4" s="11" t="s">
        <v>49</v>
      </c>
      <c r="C4" s="11" t="s">
        <v>50</v>
      </c>
      <c r="D4" s="12" t="s">
        <v>51</v>
      </c>
      <c r="E4" s="11" t="s">
        <v>182</v>
      </c>
      <c r="F4" s="11" t="s">
        <v>52</v>
      </c>
      <c r="G4" s="11" t="s">
        <v>181</v>
      </c>
      <c r="H4" s="13" t="s">
        <v>181</v>
      </c>
      <c r="K4"/>
    </row>
    <row r="5" spans="1:11" x14ac:dyDescent="0.25">
      <c r="A5" s="10"/>
      <c r="B5" s="11"/>
      <c r="C5" s="11"/>
      <c r="D5" s="12"/>
      <c r="E5" s="11"/>
      <c r="F5" s="11"/>
      <c r="G5" s="11"/>
      <c r="H5" s="13"/>
      <c r="K5"/>
    </row>
    <row r="6" spans="1:11" x14ac:dyDescent="0.25">
      <c r="A6" s="10" t="s">
        <v>59</v>
      </c>
      <c r="B6" s="11">
        <v>8</v>
      </c>
      <c r="C6" s="15">
        <v>27069</v>
      </c>
      <c r="D6" s="11">
        <v>0.13</v>
      </c>
      <c r="E6" s="32">
        <f>SUM(E16*D6)</f>
        <v>11050</v>
      </c>
      <c r="F6" s="14">
        <v>1</v>
      </c>
      <c r="G6" s="15">
        <f>(C6-E6)/F6</f>
        <v>16019</v>
      </c>
      <c r="H6" s="157">
        <f>10039*0.15</f>
        <v>1505.85</v>
      </c>
      <c r="K6"/>
    </row>
    <row r="7" spans="1:11" x14ac:dyDescent="0.25">
      <c r="A7" s="10" t="s">
        <v>60</v>
      </c>
      <c r="B7" s="11">
        <v>11</v>
      </c>
      <c r="C7" s="15">
        <v>10000</v>
      </c>
      <c r="D7" s="11">
        <v>0.03</v>
      </c>
      <c r="E7" s="32">
        <f>SUM(E16*D7)</f>
        <v>2550</v>
      </c>
      <c r="F7" s="14">
        <v>1</v>
      </c>
      <c r="G7" s="15">
        <f t="shared" ref="G7:G14" si="0">(C7-E7)/F7</f>
        <v>7450</v>
      </c>
      <c r="H7" s="157">
        <f>6070*0.15</f>
        <v>910.5</v>
      </c>
      <c r="K7"/>
    </row>
    <row r="8" spans="1:11" x14ac:dyDescent="0.25">
      <c r="A8" s="10" t="s">
        <v>53</v>
      </c>
      <c r="B8" s="11">
        <v>7</v>
      </c>
      <c r="C8" s="15">
        <v>28000</v>
      </c>
      <c r="D8" s="11">
        <v>0.15</v>
      </c>
      <c r="E8" s="32">
        <f>SUM(E16*D8)</f>
        <v>12750</v>
      </c>
      <c r="F8" s="14">
        <v>3</v>
      </c>
      <c r="G8" s="15">
        <f t="shared" si="0"/>
        <v>5083.333333333333</v>
      </c>
      <c r="H8" s="157">
        <f>2087.5*0.15</f>
        <v>313.125</v>
      </c>
      <c r="K8"/>
    </row>
    <row r="9" spans="1:11" x14ac:dyDescent="0.25">
      <c r="A9" s="10" t="s">
        <v>61</v>
      </c>
      <c r="B9" s="11">
        <v>1</v>
      </c>
      <c r="C9" s="15">
        <v>1855</v>
      </c>
      <c r="D9" s="11">
        <v>0.01</v>
      </c>
      <c r="E9" s="32">
        <f>SUM(E16*D9)</f>
        <v>850</v>
      </c>
      <c r="F9" s="14">
        <v>2</v>
      </c>
      <c r="G9" s="15">
        <f t="shared" si="0"/>
        <v>502.5</v>
      </c>
      <c r="H9" s="157">
        <f>272.5*0.15</f>
        <v>40.875</v>
      </c>
      <c r="K9"/>
    </row>
    <row r="10" spans="1:11" x14ac:dyDescent="0.25">
      <c r="A10" s="10" t="s">
        <v>162</v>
      </c>
      <c r="B10" s="11">
        <v>39</v>
      </c>
      <c r="C10" s="15">
        <v>45000</v>
      </c>
      <c r="D10" s="11">
        <v>0.05</v>
      </c>
      <c r="E10" s="32">
        <v>0</v>
      </c>
      <c r="F10" s="14">
        <v>2</v>
      </c>
      <c r="G10" s="15">
        <f t="shared" si="0"/>
        <v>22500</v>
      </c>
      <c r="H10" s="157">
        <f>22500*0.15</f>
        <v>3375</v>
      </c>
      <c r="K10"/>
    </row>
    <row r="11" spans="1:11" x14ac:dyDescent="0.25">
      <c r="A11" s="10" t="s">
        <v>62</v>
      </c>
      <c r="B11" s="11">
        <v>4</v>
      </c>
      <c r="C11" s="15">
        <v>7000</v>
      </c>
      <c r="D11" s="11">
        <v>7.0000000000000007E-2</v>
      </c>
      <c r="E11" s="32">
        <v>0</v>
      </c>
      <c r="F11" s="14">
        <v>4</v>
      </c>
      <c r="G11" s="15">
        <f t="shared" si="0"/>
        <v>1750</v>
      </c>
      <c r="H11" s="157">
        <f>1750*0.15</f>
        <v>262.5</v>
      </c>
      <c r="K11"/>
    </row>
    <row r="12" spans="1:11" x14ac:dyDescent="0.25">
      <c r="A12" s="10" t="s">
        <v>63</v>
      </c>
      <c r="B12" s="11">
        <v>1</v>
      </c>
      <c r="C12" s="15">
        <v>3060</v>
      </c>
      <c r="D12" s="11">
        <v>0.01</v>
      </c>
      <c r="E12" s="32">
        <f>SUM(E16*D12)</f>
        <v>850</v>
      </c>
      <c r="F12" s="14">
        <v>2</v>
      </c>
      <c r="G12" s="15">
        <f t="shared" si="0"/>
        <v>1105</v>
      </c>
      <c r="H12" s="157">
        <f>875*0.15</f>
        <v>131.25</v>
      </c>
      <c r="K12"/>
    </row>
    <row r="13" spans="1:11" x14ac:dyDescent="0.25">
      <c r="A13" s="10" t="s">
        <v>64</v>
      </c>
      <c r="B13" s="11">
        <v>4</v>
      </c>
      <c r="C13" s="15">
        <v>48000</v>
      </c>
      <c r="D13" s="11">
        <v>0.12</v>
      </c>
      <c r="E13" s="32">
        <f>SUM(E16*D13)</f>
        <v>10200</v>
      </c>
      <c r="F13" s="14">
        <v>2</v>
      </c>
      <c r="G13" s="15">
        <f t="shared" si="0"/>
        <v>18900</v>
      </c>
      <c r="H13" s="157">
        <f>16140*0.15</f>
        <v>2421</v>
      </c>
      <c r="K13"/>
    </row>
    <row r="14" spans="1:11" x14ac:dyDescent="0.25">
      <c r="A14" s="10" t="s">
        <v>54</v>
      </c>
      <c r="B14" s="11">
        <v>19</v>
      </c>
      <c r="C14" s="15">
        <v>300000</v>
      </c>
      <c r="D14" s="11">
        <v>0.41</v>
      </c>
      <c r="E14" s="32">
        <f>SUM(E16*D14)</f>
        <v>34850</v>
      </c>
      <c r="F14" s="14">
        <v>5</v>
      </c>
      <c r="G14" s="15">
        <f t="shared" si="0"/>
        <v>53030</v>
      </c>
      <c r="H14" s="157">
        <f>49258*0.15</f>
        <v>7388.7</v>
      </c>
      <c r="K14"/>
    </row>
    <row r="15" spans="1:11" x14ac:dyDescent="0.25">
      <c r="A15" s="10" t="s">
        <v>65</v>
      </c>
      <c r="B15" s="11">
        <v>4</v>
      </c>
      <c r="C15" s="15">
        <v>4000</v>
      </c>
      <c r="D15" s="11">
        <v>0.02</v>
      </c>
      <c r="E15" s="32">
        <f>SUM(E16*D15)</f>
        <v>1700</v>
      </c>
      <c r="F15" s="14">
        <v>2</v>
      </c>
      <c r="G15" s="15">
        <f>(C15-E15)/F15</f>
        <v>1150</v>
      </c>
      <c r="H15" s="157">
        <f>690*0.15</f>
        <v>103.5</v>
      </c>
      <c r="K15"/>
    </row>
    <row r="16" spans="1:11" ht="13.8" thickBot="1" x14ac:dyDescent="0.3">
      <c r="A16" s="17" t="s">
        <v>55</v>
      </c>
      <c r="B16" s="18"/>
      <c r="C16" s="19">
        <f>SUM(C6:C15)</f>
        <v>473984</v>
      </c>
      <c r="D16" s="20">
        <f>SUM(D6:D15)</f>
        <v>1</v>
      </c>
      <c r="E16" s="19">
        <v>85000</v>
      </c>
      <c r="F16" s="19"/>
      <c r="G16" s="19">
        <f>SUM(G6:G15)</f>
        <v>127489.83333333333</v>
      </c>
      <c r="H16" s="55">
        <f>SUM(H6:H15)</f>
        <v>16452.3</v>
      </c>
      <c r="K16"/>
    </row>
    <row r="18" spans="1:15" x14ac:dyDescent="0.25">
      <c r="G18" s="31"/>
      <c r="H18" s="31">
        <f>H16/12</f>
        <v>1371.0249999999999</v>
      </c>
      <c r="I18" s="31"/>
      <c r="J18" s="31"/>
    </row>
    <row r="19" spans="1:15" ht="24.75" customHeight="1" x14ac:dyDescent="0.25">
      <c r="A19" s="228" t="s">
        <v>1</v>
      </c>
      <c r="B19" s="228"/>
      <c r="C19" s="228"/>
      <c r="D19" s="228"/>
      <c r="E19" s="228"/>
      <c r="F19" s="228"/>
      <c r="G19" s="228"/>
      <c r="H19" s="3"/>
      <c r="I19" s="31"/>
      <c r="J19" s="31"/>
      <c r="K19" s="4"/>
    </row>
    <row r="20" spans="1:15" ht="100.5" customHeight="1" x14ac:dyDescent="0.25">
      <c r="A20" s="136" t="s">
        <v>56</v>
      </c>
      <c r="B20" s="136" t="s">
        <v>57</v>
      </c>
      <c r="C20" s="131" t="s">
        <v>112</v>
      </c>
      <c r="D20" s="137" t="s">
        <v>149</v>
      </c>
      <c r="E20" s="137" t="s">
        <v>68</v>
      </c>
      <c r="F20" s="137" t="s">
        <v>185</v>
      </c>
      <c r="G20" s="137" t="s">
        <v>186</v>
      </c>
      <c r="H20" s="46"/>
      <c r="K20"/>
    </row>
    <row r="21" spans="1:15" ht="18.75" customHeight="1" x14ac:dyDescent="0.3">
      <c r="A21" s="97" t="s">
        <v>101</v>
      </c>
      <c r="B21" s="98">
        <v>3.49E-2</v>
      </c>
      <c r="C21" s="134">
        <f>'budget 2024'!C48</f>
        <v>406.42504166666669</v>
      </c>
      <c r="D21" s="100">
        <f>G16*B21/12</f>
        <v>370.78293194444444</v>
      </c>
      <c r="E21" s="134">
        <f>SUM(C21+D21)</f>
        <v>777.20797361111113</v>
      </c>
      <c r="F21" s="134">
        <f>SUM(H16*B21)/12</f>
        <v>47.848772499999995</v>
      </c>
      <c r="G21" s="59">
        <f>C21+F21</f>
        <v>454.27381416666668</v>
      </c>
      <c r="H21" s="31"/>
      <c r="I21" s="160"/>
      <c r="K21"/>
    </row>
    <row r="22" spans="1:15" ht="45" x14ac:dyDescent="0.3">
      <c r="A22" s="97" t="s">
        <v>102</v>
      </c>
      <c r="B22" s="98">
        <v>3.8600000000000002E-2</v>
      </c>
      <c r="C22" s="134">
        <f>'budget 2024'!C49</f>
        <v>449.51308333333333</v>
      </c>
      <c r="D22" s="100">
        <f>G16*B22/12</f>
        <v>410.09229722222221</v>
      </c>
      <c r="E22" s="134">
        <f>SUM(C22+D22)</f>
        <v>859.60538055555548</v>
      </c>
      <c r="F22" s="134">
        <f>SUM(H16*B22)/12</f>
        <v>52.921564999999994</v>
      </c>
      <c r="G22" s="59">
        <f>SUM(F22+C22)</f>
        <v>502.43464833333331</v>
      </c>
      <c r="H22" s="31"/>
      <c r="I22" s="160"/>
      <c r="K22"/>
    </row>
    <row r="23" spans="1:15" ht="28.5" customHeight="1" x14ac:dyDescent="0.3">
      <c r="A23" s="97" t="s">
        <v>103</v>
      </c>
      <c r="B23" s="98">
        <v>4.1399999999999999E-2</v>
      </c>
      <c r="C23" s="134">
        <f>'budget 2024'!C50</f>
        <v>482.12025</v>
      </c>
      <c r="D23" s="100">
        <f>G16*B23/12</f>
        <v>439.83992499999999</v>
      </c>
      <c r="E23" s="134">
        <f>SUM(C23+D23)</f>
        <v>921.96017499999994</v>
      </c>
      <c r="F23" s="134">
        <f>SUM(H16*B23)/12</f>
        <v>56.760435000000001</v>
      </c>
      <c r="G23" s="59">
        <f>F23+C23</f>
        <v>538.88068499999997</v>
      </c>
      <c r="H23" s="31"/>
      <c r="I23" s="160"/>
      <c r="K23"/>
    </row>
    <row r="24" spans="1:15" x14ac:dyDescent="0.25">
      <c r="G24" s="31"/>
      <c r="H24" s="31"/>
    </row>
    <row r="26" spans="1:15" ht="12.75" customHeight="1" x14ac:dyDescent="0.25">
      <c r="A26" s="207" t="s">
        <v>42</v>
      </c>
      <c r="B26" s="207"/>
      <c r="C26" s="207"/>
      <c r="D26" s="207"/>
      <c r="E26" s="207"/>
      <c r="F26" s="207"/>
      <c r="G26" s="207"/>
      <c r="H26" s="207"/>
      <c r="I26" s="207"/>
      <c r="J26" s="135"/>
    </row>
    <row r="27" spans="1:15" ht="45.75" customHeight="1" x14ac:dyDescent="0.25">
      <c r="A27" s="207"/>
      <c r="B27" s="207"/>
      <c r="C27" s="207"/>
      <c r="D27" s="207"/>
      <c r="E27" s="207"/>
      <c r="F27" s="207"/>
      <c r="G27" s="207"/>
      <c r="H27" s="207"/>
      <c r="I27" s="207"/>
      <c r="J27" s="135"/>
      <c r="O27" s="31"/>
    </row>
    <row r="28" spans="1:15" x14ac:dyDescent="0.25">
      <c r="O28" s="31"/>
    </row>
  </sheetData>
  <mergeCells count="3">
    <mergeCell ref="A2:H2"/>
    <mergeCell ref="A19:G19"/>
    <mergeCell ref="A26:I27"/>
  </mergeCells>
  <pageMargins left="0.75" right="0.2" top="1" bottom="1" header="0.5" footer="0.5"/>
  <pageSetup scale="59" orientation="landscape" r:id="rId1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127B71-5C62-467E-B42A-80F6E00092E8}">
  <sheetPr>
    <tabColor rgb="FFFFFF00"/>
  </sheetPr>
  <dimension ref="A1:O28"/>
  <sheetViews>
    <sheetView topLeftCell="B2" zoomScaleNormal="100" workbookViewId="0">
      <selection activeCell="I24" sqref="I24"/>
    </sheetView>
  </sheetViews>
  <sheetFormatPr defaultColWidth="8.77734375" defaultRowHeight="13.2" x14ac:dyDescent="0.25"/>
  <cols>
    <col min="1" max="1" width="36.44140625" customWidth="1"/>
    <col min="2" max="2" width="13.77734375" customWidth="1"/>
    <col min="3" max="3" width="24.44140625" customWidth="1"/>
    <col min="4" max="4" width="19.21875" customWidth="1"/>
    <col min="5" max="5" width="23.44140625" customWidth="1"/>
    <col min="6" max="6" width="17" customWidth="1"/>
    <col min="7" max="8" width="19.77734375" customWidth="1"/>
    <col min="9" max="10" width="20.21875" customWidth="1"/>
    <col min="11" max="11" width="20.21875" style="3" customWidth="1"/>
    <col min="15" max="15" width="10.44140625" customWidth="1"/>
  </cols>
  <sheetData>
    <row r="1" spans="1:11" ht="13.8" thickBot="1" x14ac:dyDescent="0.3"/>
    <row r="2" spans="1:11" ht="38.25" customHeight="1" x14ac:dyDescent="0.3">
      <c r="A2" s="225" t="s">
        <v>183</v>
      </c>
      <c r="B2" s="226"/>
      <c r="C2" s="226"/>
      <c r="D2" s="226"/>
      <c r="E2" s="226"/>
      <c r="F2" s="226"/>
      <c r="G2" s="226"/>
      <c r="H2" s="227"/>
      <c r="I2" s="57"/>
      <c r="J2" s="57"/>
      <c r="K2"/>
    </row>
    <row r="3" spans="1:11" x14ac:dyDescent="0.25">
      <c r="A3" s="10" t="s">
        <v>44</v>
      </c>
      <c r="B3" s="11" t="s">
        <v>45</v>
      </c>
      <c r="C3" s="11" t="s">
        <v>45</v>
      </c>
      <c r="D3" s="12" t="s">
        <v>46</v>
      </c>
      <c r="E3" s="11" t="s">
        <v>47</v>
      </c>
      <c r="F3" s="11" t="s">
        <v>48</v>
      </c>
      <c r="G3" s="93">
        <v>1</v>
      </c>
      <c r="H3" s="56">
        <v>0.15</v>
      </c>
      <c r="K3"/>
    </row>
    <row r="4" spans="1:11" x14ac:dyDescent="0.25">
      <c r="A4" s="10"/>
      <c r="B4" s="11" t="s">
        <v>49</v>
      </c>
      <c r="C4" s="11" t="s">
        <v>50</v>
      </c>
      <c r="D4" s="12" t="s">
        <v>51</v>
      </c>
      <c r="E4" s="11" t="s">
        <v>190</v>
      </c>
      <c r="F4" s="11" t="s">
        <v>52</v>
      </c>
      <c r="G4" s="11" t="s">
        <v>188</v>
      </c>
      <c r="H4" s="13" t="s">
        <v>188</v>
      </c>
      <c r="K4"/>
    </row>
    <row r="5" spans="1:11" x14ac:dyDescent="0.25">
      <c r="A5" s="10"/>
      <c r="B5" s="11"/>
      <c r="C5" s="11"/>
      <c r="D5" s="12"/>
      <c r="E5" s="11"/>
      <c r="F5" s="11"/>
      <c r="G5" s="11"/>
      <c r="H5" s="13"/>
      <c r="K5"/>
    </row>
    <row r="6" spans="1:11" x14ac:dyDescent="0.25">
      <c r="A6" s="10" t="s">
        <v>59</v>
      </c>
      <c r="B6" s="11">
        <v>0</v>
      </c>
      <c r="C6" s="15">
        <v>27069</v>
      </c>
      <c r="D6" s="11">
        <v>0.13</v>
      </c>
      <c r="E6" s="32">
        <f>SUM(E16*D6)</f>
        <v>13000</v>
      </c>
      <c r="F6" s="14">
        <v>1</v>
      </c>
      <c r="G6" s="15">
        <f>(C6-E6)/F6</f>
        <v>14069</v>
      </c>
      <c r="H6" s="157">
        <f t="shared" ref="H6:H15" si="0">G6*0.15</f>
        <v>2110.35</v>
      </c>
      <c r="K6"/>
    </row>
    <row r="7" spans="1:11" x14ac:dyDescent="0.25">
      <c r="A7" s="10" t="s">
        <v>60</v>
      </c>
      <c r="B7" s="11">
        <v>11</v>
      </c>
      <c r="C7" s="15">
        <v>10000</v>
      </c>
      <c r="D7" s="11">
        <v>0.03</v>
      </c>
      <c r="E7" s="32">
        <f>SUM(E16*D7)</f>
        <v>3000</v>
      </c>
      <c r="F7" s="14">
        <v>6</v>
      </c>
      <c r="G7" s="15">
        <f t="shared" ref="G7:G14" si="1">(C7-E7)/F7</f>
        <v>1166.6666666666667</v>
      </c>
      <c r="H7" s="157">
        <f t="shared" si="0"/>
        <v>175</v>
      </c>
      <c r="K7"/>
    </row>
    <row r="8" spans="1:11" x14ac:dyDescent="0.25">
      <c r="A8" s="10" t="s">
        <v>53</v>
      </c>
      <c r="B8" s="11">
        <v>7</v>
      </c>
      <c r="C8" s="15">
        <v>28000</v>
      </c>
      <c r="D8" s="11">
        <v>0.22</v>
      </c>
      <c r="E8" s="32">
        <f>SUM(E16*D8)</f>
        <v>22000</v>
      </c>
      <c r="F8" s="14">
        <v>6</v>
      </c>
      <c r="G8" s="15">
        <f t="shared" si="1"/>
        <v>1000</v>
      </c>
      <c r="H8" s="157">
        <f t="shared" si="0"/>
        <v>150</v>
      </c>
      <c r="K8"/>
    </row>
    <row r="9" spans="1:11" x14ac:dyDescent="0.25">
      <c r="A9" s="10" t="s">
        <v>61</v>
      </c>
      <c r="B9" s="11">
        <v>1</v>
      </c>
      <c r="C9" s="15">
        <v>1855</v>
      </c>
      <c r="D9" s="11">
        <v>0.01</v>
      </c>
      <c r="E9" s="32">
        <f>SUM(E16*D9)</f>
        <v>1000</v>
      </c>
      <c r="F9" s="14">
        <v>2</v>
      </c>
      <c r="G9" s="15">
        <f t="shared" si="1"/>
        <v>427.5</v>
      </c>
      <c r="H9" s="157">
        <f t="shared" si="0"/>
        <v>64.125</v>
      </c>
      <c r="K9"/>
    </row>
    <row r="10" spans="1:11" x14ac:dyDescent="0.25">
      <c r="A10" s="10" t="s">
        <v>162</v>
      </c>
      <c r="B10" s="11">
        <v>40</v>
      </c>
      <c r="C10" s="15">
        <v>60000</v>
      </c>
      <c r="D10" s="11">
        <v>0.05</v>
      </c>
      <c r="E10" s="32">
        <v>0</v>
      </c>
      <c r="F10" s="14">
        <v>40</v>
      </c>
      <c r="G10" s="15">
        <f t="shared" si="1"/>
        <v>1500</v>
      </c>
      <c r="H10" s="157">
        <f t="shared" si="0"/>
        <v>225</v>
      </c>
      <c r="K10"/>
    </row>
    <row r="11" spans="1:11" x14ac:dyDescent="0.25">
      <c r="A11" s="10" t="s">
        <v>62</v>
      </c>
      <c r="B11" s="11">
        <v>4</v>
      </c>
      <c r="C11" s="15">
        <v>7000</v>
      </c>
      <c r="D11" s="11">
        <v>7.0000000000000007E-2</v>
      </c>
      <c r="E11" s="32">
        <v>0</v>
      </c>
      <c r="F11" s="14">
        <v>4</v>
      </c>
      <c r="G11" s="15">
        <f t="shared" si="1"/>
        <v>1750</v>
      </c>
      <c r="H11" s="157">
        <f t="shared" si="0"/>
        <v>262.5</v>
      </c>
      <c r="K11"/>
    </row>
    <row r="12" spans="1:11" x14ac:dyDescent="0.25">
      <c r="A12" s="10" t="s">
        <v>63</v>
      </c>
      <c r="B12" s="11">
        <v>0</v>
      </c>
      <c r="C12" s="15">
        <v>3060</v>
      </c>
      <c r="D12" s="11">
        <v>0.01</v>
      </c>
      <c r="E12" s="32">
        <f>SUM(E16*D12)</f>
        <v>1000</v>
      </c>
      <c r="F12" s="14">
        <v>1</v>
      </c>
      <c r="G12" s="15">
        <f t="shared" si="1"/>
        <v>2060</v>
      </c>
      <c r="H12" s="157">
        <f t="shared" si="0"/>
        <v>309</v>
      </c>
      <c r="K12"/>
    </row>
    <row r="13" spans="1:11" x14ac:dyDescent="0.25">
      <c r="A13" s="10" t="s">
        <v>64</v>
      </c>
      <c r="B13" s="11">
        <v>4</v>
      </c>
      <c r="C13" s="15">
        <v>48000</v>
      </c>
      <c r="D13" s="11">
        <v>0.12</v>
      </c>
      <c r="E13" s="32">
        <f>SUM(E16*D13)</f>
        <v>12000</v>
      </c>
      <c r="F13" s="14">
        <v>2</v>
      </c>
      <c r="G13" s="15">
        <f t="shared" si="1"/>
        <v>18000</v>
      </c>
      <c r="H13" s="157">
        <f t="shared" si="0"/>
        <v>2700</v>
      </c>
      <c r="K13"/>
    </row>
    <row r="14" spans="1:11" x14ac:dyDescent="0.25">
      <c r="A14" s="10" t="s">
        <v>54</v>
      </c>
      <c r="B14" s="11">
        <v>20</v>
      </c>
      <c r="C14" s="15">
        <v>315000</v>
      </c>
      <c r="D14" s="11">
        <v>0.48</v>
      </c>
      <c r="E14" s="32">
        <f>SUM(E16*D14)</f>
        <v>48000</v>
      </c>
      <c r="F14" s="14">
        <v>20</v>
      </c>
      <c r="G14" s="15">
        <f t="shared" si="1"/>
        <v>13350</v>
      </c>
      <c r="H14" s="157">
        <f t="shared" si="0"/>
        <v>2002.5</v>
      </c>
      <c r="K14"/>
    </row>
    <row r="15" spans="1:11" x14ac:dyDescent="0.25">
      <c r="A15" s="10" t="s">
        <v>65</v>
      </c>
      <c r="B15" s="11">
        <v>4</v>
      </c>
      <c r="C15" s="15">
        <v>4000</v>
      </c>
      <c r="D15" s="11">
        <v>0.02</v>
      </c>
      <c r="E15" s="32">
        <f>SUM(E16*D15)</f>
        <v>2000</v>
      </c>
      <c r="F15" s="14">
        <v>2</v>
      </c>
      <c r="G15" s="15">
        <f>(C15-E15)/F15</f>
        <v>1000</v>
      </c>
      <c r="H15" s="157">
        <f t="shared" si="0"/>
        <v>150</v>
      </c>
      <c r="I15">
        <v>20</v>
      </c>
      <c r="J15">
        <v>30</v>
      </c>
      <c r="K15"/>
    </row>
    <row r="16" spans="1:11" ht="13.8" thickBot="1" x14ac:dyDescent="0.3">
      <c r="A16" s="17" t="s">
        <v>55</v>
      </c>
      <c r="B16" s="18"/>
      <c r="C16" s="19">
        <f>SUM(C6:C15)</f>
        <v>503984</v>
      </c>
      <c r="D16" s="20">
        <f>SUM(D6:D15)</f>
        <v>1.1400000000000001</v>
      </c>
      <c r="E16" s="19">
        <v>100000</v>
      </c>
      <c r="F16" s="19"/>
      <c r="G16" s="19">
        <f>SUM(G6:G15)</f>
        <v>54323.166666666664</v>
      </c>
      <c r="H16" s="55">
        <f>SUM(H6:H15)</f>
        <v>8148.4750000000004</v>
      </c>
      <c r="I16" s="31">
        <f>G16*0.2</f>
        <v>10864.633333333333</v>
      </c>
      <c r="J16" s="31">
        <f>G16*0.3</f>
        <v>16296.949999999999</v>
      </c>
      <c r="K16"/>
    </row>
    <row r="18" spans="1:15" x14ac:dyDescent="0.25">
      <c r="G18" s="31"/>
      <c r="H18" s="31">
        <f>H16/12</f>
        <v>679.03958333333333</v>
      </c>
      <c r="I18" s="31"/>
      <c r="J18" s="31"/>
    </row>
    <row r="19" spans="1:15" ht="24.75" customHeight="1" x14ac:dyDescent="0.25">
      <c r="A19" s="228" t="s">
        <v>1</v>
      </c>
      <c r="B19" s="228"/>
      <c r="C19" s="228"/>
      <c r="D19" s="228"/>
      <c r="E19" s="228"/>
      <c r="F19" s="228"/>
      <c r="G19" s="228"/>
      <c r="H19" s="3"/>
      <c r="I19" s="31"/>
      <c r="J19" s="31"/>
      <c r="K19" s="4"/>
    </row>
    <row r="20" spans="1:15" ht="100.5" customHeight="1" x14ac:dyDescent="0.25">
      <c r="A20" s="136" t="s">
        <v>56</v>
      </c>
      <c r="B20" s="136" t="s">
        <v>57</v>
      </c>
      <c r="C20" s="131" t="s">
        <v>112</v>
      </c>
      <c r="D20" s="137" t="s">
        <v>149</v>
      </c>
      <c r="E20" s="137" t="s">
        <v>68</v>
      </c>
      <c r="F20" s="137" t="s">
        <v>185</v>
      </c>
      <c r="G20" s="137" t="s">
        <v>186</v>
      </c>
      <c r="H20" s="137" t="s">
        <v>150</v>
      </c>
      <c r="I20" s="137" t="s">
        <v>189</v>
      </c>
      <c r="K20"/>
    </row>
    <row r="21" spans="1:15" ht="18.75" customHeight="1" x14ac:dyDescent="0.3">
      <c r="A21" s="97" t="s">
        <v>101</v>
      </c>
      <c r="B21" s="98">
        <v>3.49E-2</v>
      </c>
      <c r="C21" s="134">
        <f>'budget 2024'!C48</f>
        <v>406.42504166666669</v>
      </c>
      <c r="D21" s="100">
        <f>G16*B21/12</f>
        <v>157.98987638888889</v>
      </c>
      <c r="E21" s="134">
        <f>SUM(C21+D21)</f>
        <v>564.41491805555552</v>
      </c>
      <c r="F21" s="134">
        <f>SUM(H16*B21)/12</f>
        <v>23.698481458333333</v>
      </c>
      <c r="G21" s="59">
        <f>C21+F21</f>
        <v>430.12352312500002</v>
      </c>
      <c r="H21" s="134">
        <f>SUM(I16*B21)/12</f>
        <v>31.597975277777778</v>
      </c>
      <c r="I21" s="134">
        <f>SUM(J16*B21)/12</f>
        <v>47.396962916666666</v>
      </c>
      <c r="K21"/>
    </row>
    <row r="22" spans="1:15" ht="45" x14ac:dyDescent="0.3">
      <c r="A22" s="97" t="s">
        <v>102</v>
      </c>
      <c r="B22" s="98">
        <v>3.8600000000000002E-2</v>
      </c>
      <c r="C22" s="134">
        <f>'budget 2024'!C49</f>
        <v>449.51308333333333</v>
      </c>
      <c r="D22" s="100">
        <f>G16*B22/12</f>
        <v>174.73951944444445</v>
      </c>
      <c r="E22" s="134">
        <f>SUM(C22+D22)</f>
        <v>624.25260277777784</v>
      </c>
      <c r="F22" s="134">
        <f>SUM(H16*B22)/12</f>
        <v>26.210927916666666</v>
      </c>
      <c r="G22" s="59">
        <f>SUM(F22+C22)</f>
        <v>475.72401124999999</v>
      </c>
      <c r="H22" s="134">
        <f>SUM(I16*B22)/12</f>
        <v>34.947903888888895</v>
      </c>
      <c r="I22" s="134">
        <f>SUM(J16*B22)/12</f>
        <v>52.421855833333332</v>
      </c>
      <c r="K22"/>
    </row>
    <row r="23" spans="1:15" ht="28.5" customHeight="1" x14ac:dyDescent="0.3">
      <c r="A23" s="97" t="s">
        <v>103</v>
      </c>
      <c r="B23" s="98">
        <v>4.1399999999999999E-2</v>
      </c>
      <c r="C23" s="134">
        <f>'budget 2024'!C50</f>
        <v>482.12025</v>
      </c>
      <c r="D23" s="100">
        <f>G16*B23/12</f>
        <v>187.41492500000001</v>
      </c>
      <c r="E23" s="134">
        <f>SUM(C23+D23)</f>
        <v>669.53517499999998</v>
      </c>
      <c r="F23" s="134">
        <f>SUM(H16*B23)/12</f>
        <v>28.112238750000003</v>
      </c>
      <c r="G23" s="59">
        <f>F23+C23</f>
        <v>510.23248875000002</v>
      </c>
      <c r="H23" s="134">
        <f>SUM(I16*B23)/12</f>
        <v>37.482984999999999</v>
      </c>
      <c r="I23" s="134">
        <f>SUM(J16*B23)/12</f>
        <v>56.224477499999999</v>
      </c>
      <c r="K23"/>
    </row>
    <row r="24" spans="1:15" x14ac:dyDescent="0.25">
      <c r="G24" s="31"/>
      <c r="H24" s="31"/>
    </row>
    <row r="26" spans="1:15" ht="12.75" customHeight="1" x14ac:dyDescent="0.25">
      <c r="A26" s="207" t="s">
        <v>42</v>
      </c>
      <c r="B26" s="207"/>
      <c r="C26" s="207"/>
      <c r="D26" s="207"/>
      <c r="E26" s="207"/>
      <c r="F26" s="207"/>
      <c r="G26" s="207"/>
      <c r="H26" s="207"/>
      <c r="I26" s="207"/>
      <c r="J26" s="135"/>
    </row>
    <row r="27" spans="1:15" ht="45.75" customHeight="1" x14ac:dyDescent="0.25">
      <c r="A27" s="207"/>
      <c r="B27" s="207"/>
      <c r="C27" s="207"/>
      <c r="D27" s="207"/>
      <c r="E27" s="207"/>
      <c r="F27" s="207"/>
      <c r="G27" s="207"/>
      <c r="H27" s="207"/>
      <c r="I27" s="207"/>
      <c r="J27" s="135"/>
      <c r="O27" s="31"/>
    </row>
    <row r="28" spans="1:15" x14ac:dyDescent="0.25">
      <c r="O28" s="31"/>
    </row>
  </sheetData>
  <mergeCells count="3">
    <mergeCell ref="A2:H2"/>
    <mergeCell ref="A19:G19"/>
    <mergeCell ref="A26:I27"/>
  </mergeCells>
  <pageMargins left="0.75" right="0.2" top="1" bottom="1" header="0.5" footer="0.5"/>
  <pageSetup scale="59" orientation="landscape" r:id="rId1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998D9D-04D2-4123-BEA5-296405775723}">
  <sheetPr>
    <tabColor rgb="FF92D050"/>
  </sheetPr>
  <dimension ref="A1:M51"/>
  <sheetViews>
    <sheetView tabSelected="1" zoomScaleNormal="100" zoomScaleSheetLayoutView="90" workbookViewId="0">
      <selection activeCell="B28" sqref="B28:D28"/>
    </sheetView>
  </sheetViews>
  <sheetFormatPr defaultColWidth="8.77734375" defaultRowHeight="15" x14ac:dyDescent="0.25"/>
  <cols>
    <col min="1" max="1" width="36.44140625" style="62" customWidth="1"/>
    <col min="2" max="2" width="20.77734375" style="77" bestFit="1" customWidth="1"/>
    <col min="3" max="3" width="28.44140625" style="77" customWidth="1"/>
    <col min="4" max="4" width="25.44140625" style="77" customWidth="1"/>
    <col min="5" max="5" width="15.44140625" style="62" customWidth="1"/>
    <col min="6" max="6" width="11.77734375" style="62" bestFit="1" customWidth="1"/>
    <col min="7" max="7" width="9.44140625" style="62" customWidth="1"/>
    <col min="8" max="16384" width="8.77734375" style="62"/>
  </cols>
  <sheetData>
    <row r="1" spans="1:5" ht="66" customHeight="1" x14ac:dyDescent="0.25">
      <c r="A1" s="223" t="s">
        <v>187</v>
      </c>
      <c r="B1" s="224"/>
      <c r="C1" s="224"/>
      <c r="D1" s="224"/>
    </row>
    <row r="3" spans="1:5" ht="15.6" x14ac:dyDescent="0.3">
      <c r="B3" s="61" t="s">
        <v>107</v>
      </c>
      <c r="C3" s="61" t="s">
        <v>37</v>
      </c>
      <c r="D3" s="61" t="s">
        <v>72</v>
      </c>
      <c r="E3" s="60"/>
    </row>
    <row r="4" spans="1:5" ht="15.6" x14ac:dyDescent="0.3">
      <c r="A4" s="57" t="s">
        <v>0</v>
      </c>
      <c r="B4" s="61">
        <v>2023</v>
      </c>
      <c r="C4" s="61">
        <v>2023</v>
      </c>
      <c r="D4" s="61">
        <v>2024</v>
      </c>
      <c r="E4" s="63"/>
    </row>
    <row r="5" spans="1:5" x14ac:dyDescent="0.25">
      <c r="A5" s="62" t="s">
        <v>1</v>
      </c>
      <c r="B5" s="64">
        <v>117825</v>
      </c>
      <c r="C5" s="64">
        <v>150000</v>
      </c>
      <c r="D5" s="64">
        <f>D45-D7</f>
        <v>138745</v>
      </c>
      <c r="E5" s="65"/>
    </row>
    <row r="6" spans="1:5" x14ac:dyDescent="0.25">
      <c r="A6" s="62" t="s">
        <v>176</v>
      </c>
      <c r="B6" s="64">
        <v>0</v>
      </c>
      <c r="C6" s="64">
        <f>457.01*12</f>
        <v>5484.12</v>
      </c>
      <c r="D6" s="64"/>
      <c r="E6" s="65"/>
    </row>
    <row r="7" spans="1:5" ht="15.6" thickBot="1" x14ac:dyDescent="0.3">
      <c r="A7" s="62" t="s">
        <v>2</v>
      </c>
      <c r="B7" s="66">
        <v>1000</v>
      </c>
      <c r="C7" s="66">
        <v>350</v>
      </c>
      <c r="D7" s="66">
        <v>1000</v>
      </c>
      <c r="E7" s="65"/>
    </row>
    <row r="8" spans="1:5" ht="16.2" thickTop="1" x14ac:dyDescent="0.3">
      <c r="A8" s="67" t="s">
        <v>108</v>
      </c>
      <c r="B8" s="68">
        <f>SUM(B5:B7)</f>
        <v>118825</v>
      </c>
      <c r="C8" s="158">
        <f>SUM(C5:C7)</f>
        <v>155834.12</v>
      </c>
      <c r="D8" s="68">
        <f>SUM(D5:D7)</f>
        <v>139745</v>
      </c>
      <c r="E8" s="65"/>
    </row>
    <row r="9" spans="1:5" ht="15.6" x14ac:dyDescent="0.3">
      <c r="A9" s="57" t="s">
        <v>4</v>
      </c>
      <c r="B9" s="64"/>
      <c r="C9" s="64"/>
      <c r="D9" s="64"/>
      <c r="E9" s="65"/>
    </row>
    <row r="10" spans="1:5" ht="15.6" x14ac:dyDescent="0.3">
      <c r="A10" s="57" t="s">
        <v>5</v>
      </c>
      <c r="B10" s="64"/>
      <c r="C10" s="64"/>
      <c r="D10" s="64"/>
      <c r="E10" s="65"/>
    </row>
    <row r="11" spans="1:5" x14ac:dyDescent="0.25">
      <c r="A11" s="62" t="s">
        <v>38</v>
      </c>
      <c r="B11" s="64">
        <v>2000</v>
      </c>
      <c r="C11" s="64">
        <v>2000</v>
      </c>
      <c r="D11" s="64">
        <v>2000</v>
      </c>
      <c r="E11" s="65"/>
    </row>
    <row r="12" spans="1:5" x14ac:dyDescent="0.25">
      <c r="A12" s="62" t="s">
        <v>7</v>
      </c>
      <c r="B12" s="64">
        <v>425</v>
      </c>
      <c r="C12" s="64">
        <v>460</v>
      </c>
      <c r="D12" s="64">
        <v>425</v>
      </c>
      <c r="E12" s="65"/>
    </row>
    <row r="13" spans="1:5" x14ac:dyDescent="0.25">
      <c r="A13" s="62" t="s">
        <v>82</v>
      </c>
      <c r="B13" s="64">
        <v>500</v>
      </c>
      <c r="C13" s="64">
        <v>200</v>
      </c>
      <c r="D13" s="64">
        <v>500</v>
      </c>
      <c r="E13" s="65"/>
    </row>
    <row r="14" spans="1:5" x14ac:dyDescent="0.25">
      <c r="A14" s="62" t="s">
        <v>8</v>
      </c>
      <c r="B14" s="64">
        <v>300</v>
      </c>
      <c r="C14" s="64">
        <v>300</v>
      </c>
      <c r="D14" s="64">
        <v>300</v>
      </c>
      <c r="E14" s="65"/>
    </row>
    <row r="15" spans="1:5" x14ac:dyDescent="0.25">
      <c r="A15" s="62" t="s">
        <v>11</v>
      </c>
      <c r="B15" s="64">
        <v>100</v>
      </c>
      <c r="C15" s="64">
        <v>100</v>
      </c>
      <c r="D15" s="64">
        <v>100</v>
      </c>
      <c r="E15" s="65"/>
    </row>
    <row r="16" spans="1:5" x14ac:dyDescent="0.25">
      <c r="A16" s="62" t="s">
        <v>31</v>
      </c>
      <c r="B16" s="64">
        <v>350</v>
      </c>
      <c r="C16" s="64">
        <v>390</v>
      </c>
      <c r="D16" s="64">
        <v>350</v>
      </c>
      <c r="E16" s="65"/>
    </row>
    <row r="17" spans="1:7" ht="15.6" thickBot="1" x14ac:dyDescent="0.3">
      <c r="A17" s="62" t="s">
        <v>12</v>
      </c>
      <c r="B17" s="70">
        <v>150</v>
      </c>
      <c r="C17" s="70">
        <v>150</v>
      </c>
      <c r="D17" s="70">
        <v>150</v>
      </c>
      <c r="E17" s="65"/>
    </row>
    <row r="18" spans="1:7" ht="15.6" x14ac:dyDescent="0.3">
      <c r="A18" s="57" t="s">
        <v>13</v>
      </c>
      <c r="B18" s="71">
        <f>SUM(B11:B17)</f>
        <v>3825</v>
      </c>
      <c r="C18" s="71">
        <f>SUM(C11:C17)</f>
        <v>3600</v>
      </c>
      <c r="D18" s="71">
        <f>SUM(D11:D17)</f>
        <v>3825</v>
      </c>
      <c r="E18" s="65"/>
    </row>
    <row r="19" spans="1:7" x14ac:dyDescent="0.25">
      <c r="B19" s="64"/>
      <c r="C19" s="64"/>
      <c r="D19" s="64"/>
      <c r="E19" s="65"/>
    </row>
    <row r="20" spans="1:7" ht="15.6" x14ac:dyDescent="0.3">
      <c r="A20" s="57" t="s">
        <v>14</v>
      </c>
      <c r="B20" s="64"/>
      <c r="C20" s="64"/>
      <c r="D20" s="64"/>
      <c r="E20" s="65"/>
    </row>
    <row r="21" spans="1:7" x14ac:dyDescent="0.25">
      <c r="A21" s="62" t="s">
        <v>15</v>
      </c>
      <c r="B21" s="64">
        <v>1900</v>
      </c>
      <c r="C21" s="64">
        <v>3800</v>
      </c>
      <c r="D21" s="64">
        <v>1900</v>
      </c>
      <c r="E21" s="65"/>
    </row>
    <row r="22" spans="1:7" x14ac:dyDescent="0.25">
      <c r="A22" s="62" t="s">
        <v>17</v>
      </c>
      <c r="B22" s="64">
        <v>2000</v>
      </c>
      <c r="C22" s="64">
        <v>2000</v>
      </c>
      <c r="D22" s="64">
        <v>2000</v>
      </c>
      <c r="E22" s="65"/>
    </row>
    <row r="23" spans="1:7" x14ac:dyDescent="0.25">
      <c r="A23" s="62" t="s">
        <v>18</v>
      </c>
      <c r="B23" s="64">
        <v>6100</v>
      </c>
      <c r="C23" s="64">
        <v>6100</v>
      </c>
      <c r="D23" s="64">
        <v>6100</v>
      </c>
      <c r="E23" s="65"/>
    </row>
    <row r="24" spans="1:7" x14ac:dyDescent="0.25">
      <c r="A24" s="62" t="s">
        <v>19</v>
      </c>
      <c r="B24" s="64">
        <v>5400</v>
      </c>
      <c r="C24" s="64">
        <f>450*12</f>
        <v>5400</v>
      </c>
      <c r="D24" s="64">
        <v>5400</v>
      </c>
      <c r="E24" s="65"/>
      <c r="G24" s="62">
        <f>475*12</f>
        <v>5700</v>
      </c>
    </row>
    <row r="25" spans="1:7" ht="15.6" thickBot="1" x14ac:dyDescent="0.3">
      <c r="A25" s="62" t="s">
        <v>20</v>
      </c>
      <c r="B25" s="70">
        <v>2000</v>
      </c>
      <c r="C25" s="70">
        <v>3200</v>
      </c>
      <c r="D25" s="70">
        <v>2000</v>
      </c>
      <c r="E25" s="65"/>
    </row>
    <row r="26" spans="1:7" ht="15.6" x14ac:dyDescent="0.3">
      <c r="A26" s="57" t="s">
        <v>21</v>
      </c>
      <c r="B26" s="71">
        <f>SUM(B21:B25)</f>
        <v>17400</v>
      </c>
      <c r="C26" s="71">
        <f>SUM(C21:C25)</f>
        <v>20500</v>
      </c>
      <c r="D26" s="71">
        <f>SUM(D21:D25)</f>
        <v>17400</v>
      </c>
      <c r="E26" s="65"/>
    </row>
    <row r="27" spans="1:7" x14ac:dyDescent="0.25">
      <c r="B27" s="64"/>
      <c r="C27" s="64"/>
      <c r="D27" s="64"/>
      <c r="E27" s="65"/>
    </row>
    <row r="28" spans="1:7" ht="15.6" x14ac:dyDescent="0.3">
      <c r="A28" s="57" t="s">
        <v>22</v>
      </c>
      <c r="B28" s="71">
        <v>56000</v>
      </c>
      <c r="C28" s="71">
        <f>4900*12</f>
        <v>58800</v>
      </c>
      <c r="D28" s="71">
        <v>70000</v>
      </c>
      <c r="E28" s="65">
        <f>55745</f>
        <v>55745</v>
      </c>
      <c r="F28" s="81">
        <f>D28-E28</f>
        <v>14255</v>
      </c>
    </row>
    <row r="29" spans="1:7" x14ac:dyDescent="0.25">
      <c r="B29" s="64"/>
      <c r="C29" s="64"/>
      <c r="D29" s="64"/>
      <c r="E29" s="65"/>
    </row>
    <row r="30" spans="1:7" ht="15.6" x14ac:dyDescent="0.3">
      <c r="A30" s="57" t="s">
        <v>23</v>
      </c>
      <c r="B30" s="64"/>
      <c r="C30" s="64"/>
      <c r="D30" s="64"/>
      <c r="E30" s="65"/>
      <c r="F30" s="81">
        <f>90000-56000</f>
        <v>34000</v>
      </c>
    </row>
    <row r="31" spans="1:7" x14ac:dyDescent="0.25">
      <c r="A31" s="62" t="s">
        <v>26</v>
      </c>
      <c r="B31" s="64">
        <v>6300</v>
      </c>
      <c r="C31" s="64">
        <f>525*12</f>
        <v>6300</v>
      </c>
      <c r="D31" s="64">
        <v>6300</v>
      </c>
      <c r="E31" s="65"/>
    </row>
    <row r="32" spans="1:7" x14ac:dyDescent="0.25">
      <c r="A32" s="62" t="s">
        <v>27</v>
      </c>
      <c r="B32" s="64">
        <v>12000</v>
      </c>
      <c r="C32" s="64">
        <v>12000</v>
      </c>
      <c r="D32" s="64">
        <f>1310*12</f>
        <v>15720</v>
      </c>
      <c r="E32" s="65"/>
    </row>
    <row r="33" spans="1:13" x14ac:dyDescent="0.25">
      <c r="A33" s="62" t="s">
        <v>28</v>
      </c>
      <c r="B33" s="64">
        <v>2600</v>
      </c>
      <c r="C33" s="64">
        <v>2600</v>
      </c>
      <c r="D33" s="64">
        <v>2600</v>
      </c>
      <c r="E33" s="65"/>
    </row>
    <row r="34" spans="1:13" x14ac:dyDescent="0.25">
      <c r="A34" s="62" t="s">
        <v>169</v>
      </c>
      <c r="B34" s="64">
        <v>2500</v>
      </c>
      <c r="C34" s="64">
        <v>2500</v>
      </c>
      <c r="D34" s="64">
        <v>5000</v>
      </c>
      <c r="E34" s="65"/>
    </row>
    <row r="35" spans="1:13" ht="15.6" thickBot="1" x14ac:dyDescent="0.3">
      <c r="A35" s="62" t="s">
        <v>29</v>
      </c>
      <c r="B35" s="70">
        <v>3000</v>
      </c>
      <c r="C35" s="70">
        <v>2500</v>
      </c>
      <c r="D35" s="70">
        <v>3200</v>
      </c>
      <c r="E35" s="65"/>
    </row>
    <row r="36" spans="1:13" ht="15.6" x14ac:dyDescent="0.3">
      <c r="A36" s="57" t="s">
        <v>30</v>
      </c>
      <c r="B36" s="71">
        <f>SUM(B31:B35)</f>
        <v>26400</v>
      </c>
      <c r="C36" s="71">
        <f>SUM(C31:C35)</f>
        <v>25900</v>
      </c>
      <c r="D36" s="71">
        <f>SUM(D31:D35)</f>
        <v>32820</v>
      </c>
      <c r="E36" s="65"/>
    </row>
    <row r="37" spans="1:13" x14ac:dyDescent="0.25">
      <c r="B37" s="64"/>
      <c r="C37" s="64"/>
      <c r="D37" s="64"/>
      <c r="E37" s="65"/>
    </row>
    <row r="38" spans="1:13" ht="15.6" x14ac:dyDescent="0.3">
      <c r="A38" s="57" t="s">
        <v>32</v>
      </c>
      <c r="B38" s="64"/>
      <c r="C38" s="64"/>
      <c r="D38" s="64"/>
      <c r="E38" s="65"/>
    </row>
    <row r="39" spans="1:13" x14ac:dyDescent="0.25">
      <c r="A39" s="62" t="s">
        <v>33</v>
      </c>
      <c r="B39" s="64">
        <v>1600</v>
      </c>
      <c r="C39" s="64">
        <v>1700</v>
      </c>
      <c r="D39" s="64">
        <v>1700</v>
      </c>
      <c r="E39" s="65"/>
    </row>
    <row r="40" spans="1:13" ht="15.6" thickBot="1" x14ac:dyDescent="0.3">
      <c r="A40" s="62" t="s">
        <v>34</v>
      </c>
      <c r="B40" s="70">
        <v>13600</v>
      </c>
      <c r="C40" s="70">
        <v>13000</v>
      </c>
      <c r="D40" s="70">
        <v>14000</v>
      </c>
      <c r="E40" s="65"/>
    </row>
    <row r="41" spans="1:13" ht="15.6" x14ac:dyDescent="0.3">
      <c r="A41" s="57" t="s">
        <v>35</v>
      </c>
      <c r="B41" s="71">
        <f>SUM(B39:B40)</f>
        <v>15200</v>
      </c>
      <c r="C41" s="71">
        <f>SUM(C39:C40)</f>
        <v>14700</v>
      </c>
      <c r="D41" s="71">
        <f>SUM(D39:D40)</f>
        <v>15700</v>
      </c>
      <c r="E41" s="65"/>
    </row>
    <row r="42" spans="1:13" x14ac:dyDescent="0.25">
      <c r="B42" s="64"/>
      <c r="C42" s="64"/>
      <c r="D42" s="64"/>
      <c r="E42" s="65"/>
      <c r="H42" s="62">
        <f>36000/12</f>
        <v>3000</v>
      </c>
    </row>
    <row r="43" spans="1:13" ht="15.6" x14ac:dyDescent="0.3">
      <c r="A43" s="57" t="s">
        <v>184</v>
      </c>
      <c r="B43" s="71"/>
      <c r="C43" s="71">
        <f>457.01*12</f>
        <v>5484.12</v>
      </c>
      <c r="D43" s="71"/>
      <c r="E43" s="65"/>
      <c r="H43" s="62">
        <f>2700/8</f>
        <v>337.5</v>
      </c>
    </row>
    <row r="44" spans="1:13" ht="16.2" thickBot="1" x14ac:dyDescent="0.35">
      <c r="A44" s="57" t="s">
        <v>70</v>
      </c>
      <c r="B44" s="72"/>
      <c r="C44" s="70">
        <v>0</v>
      </c>
      <c r="D44" s="72"/>
      <c r="E44" s="65"/>
      <c r="G44" s="71"/>
    </row>
    <row r="45" spans="1:13" ht="15.6" x14ac:dyDescent="0.3">
      <c r="A45" s="57" t="s">
        <v>83</v>
      </c>
      <c r="B45" s="68">
        <f>B41+B36+B28+B26+B18</f>
        <v>118825</v>
      </c>
      <c r="C45" s="68">
        <f>SUM(C41+C36+C28+C26+C18)</f>
        <v>123500</v>
      </c>
      <c r="D45" s="68">
        <f>D41+D36+D28+D26+D18</f>
        <v>139745</v>
      </c>
      <c r="E45" s="73"/>
      <c r="M45" s="62">
        <f>150000/108/26</f>
        <v>53.418803418803421</v>
      </c>
    </row>
    <row r="46" spans="1:13" x14ac:dyDescent="0.25">
      <c r="B46" s="77">
        <v>20400</v>
      </c>
    </row>
    <row r="47" spans="1:13" ht="33.75" customHeight="1" x14ac:dyDescent="0.3">
      <c r="A47" s="106" t="s">
        <v>171</v>
      </c>
      <c r="B47" s="106"/>
      <c r="C47" s="107" t="s">
        <v>112</v>
      </c>
    </row>
    <row r="48" spans="1:13" ht="33.75" customHeight="1" x14ac:dyDescent="0.3">
      <c r="A48" s="108" t="s">
        <v>101</v>
      </c>
      <c r="B48" s="88">
        <v>3.49E-2</v>
      </c>
      <c r="C48" s="143">
        <f>SUM(D45*0.0349)/12</f>
        <v>406.42504166666669</v>
      </c>
      <c r="D48" s="159">
        <f>C48*4*12</f>
        <v>19508.402000000002</v>
      </c>
      <c r="E48" s="81"/>
      <c r="H48" s="81"/>
    </row>
    <row r="49" spans="1:5" ht="68.55" customHeight="1" x14ac:dyDescent="0.3">
      <c r="A49" s="110" t="s">
        <v>102</v>
      </c>
      <c r="B49" s="88">
        <v>3.8600000000000002E-2</v>
      </c>
      <c r="C49" s="143">
        <f>SUM(D45*0.0386)/12</f>
        <v>449.51308333333333</v>
      </c>
      <c r="D49" s="159">
        <f>18*C49*12</f>
        <v>97094.826000000001</v>
      </c>
      <c r="E49" s="81"/>
    </row>
    <row r="50" spans="1:5" ht="33.75" customHeight="1" x14ac:dyDescent="0.3">
      <c r="A50" s="108" t="s">
        <v>103</v>
      </c>
      <c r="B50" s="88">
        <v>4.1399999999999999E-2</v>
      </c>
      <c r="C50" s="143">
        <f>SUM(D45*0.0414)/12</f>
        <v>482.12025</v>
      </c>
      <c r="D50" s="159">
        <f>C50*4*12</f>
        <v>23141.772000000001</v>
      </c>
      <c r="E50" s="81"/>
    </row>
    <row r="51" spans="1:5" ht="15.6" x14ac:dyDescent="0.3">
      <c r="D51" s="71">
        <f>D48+D49+D50</f>
        <v>139745</v>
      </c>
      <c r="E51" s="81"/>
    </row>
  </sheetData>
  <mergeCells count="1">
    <mergeCell ref="A1:D1"/>
  </mergeCells>
  <pageMargins left="0.25" right="0.28999999999999998" top="0.91" bottom="1" header="0.4" footer="0.5"/>
  <pageSetup scale="60" orientation="portrait" r:id="rId1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A20980-2B77-439B-96C4-0286B7B9EACC}">
  <sheetPr>
    <tabColor rgb="FF92D050"/>
  </sheetPr>
  <dimension ref="A1:M51"/>
  <sheetViews>
    <sheetView zoomScaleNormal="100" zoomScaleSheetLayoutView="90" workbookViewId="0">
      <selection activeCell="B28" sqref="B28:D28"/>
    </sheetView>
  </sheetViews>
  <sheetFormatPr defaultColWidth="8.77734375" defaultRowHeight="15" x14ac:dyDescent="0.25"/>
  <cols>
    <col min="1" max="1" width="36.44140625" style="62" customWidth="1"/>
    <col min="2" max="2" width="20.77734375" style="77" bestFit="1" customWidth="1"/>
    <col min="3" max="3" width="28.44140625" style="77" customWidth="1"/>
    <col min="4" max="4" width="25.44140625" style="77" customWidth="1"/>
    <col min="5" max="5" width="15.44140625" style="62" customWidth="1"/>
    <col min="6" max="6" width="11.77734375" style="62" bestFit="1" customWidth="1"/>
    <col min="7" max="7" width="9.44140625" style="62" customWidth="1"/>
    <col min="8" max="16384" width="8.77734375" style="62"/>
  </cols>
  <sheetData>
    <row r="1" spans="1:5" ht="66" customHeight="1" x14ac:dyDescent="0.25">
      <c r="A1" s="223" t="s">
        <v>187</v>
      </c>
      <c r="B1" s="224"/>
      <c r="C1" s="224"/>
      <c r="D1" s="224"/>
    </row>
    <row r="3" spans="1:5" ht="15.6" x14ac:dyDescent="0.3">
      <c r="B3" s="61" t="s">
        <v>107</v>
      </c>
      <c r="C3" s="61" t="s">
        <v>37</v>
      </c>
      <c r="D3" s="61" t="s">
        <v>72</v>
      </c>
      <c r="E3" s="60"/>
    </row>
    <row r="4" spans="1:5" ht="15.6" x14ac:dyDescent="0.3">
      <c r="A4" s="57" t="s">
        <v>0</v>
      </c>
      <c r="B4" s="61">
        <v>2023</v>
      </c>
      <c r="C4" s="61">
        <v>2023</v>
      </c>
      <c r="D4" s="61">
        <v>2024</v>
      </c>
      <c r="E4" s="63"/>
    </row>
    <row r="5" spans="1:5" x14ac:dyDescent="0.25">
      <c r="A5" s="62" t="s">
        <v>1</v>
      </c>
      <c r="B5" s="64">
        <v>117825</v>
      </c>
      <c r="C5" s="64">
        <v>150000</v>
      </c>
      <c r="D5" s="64">
        <f>D45-D7</f>
        <v>138745</v>
      </c>
      <c r="E5" s="65"/>
    </row>
    <row r="6" spans="1:5" x14ac:dyDescent="0.25">
      <c r="A6" s="62" t="s">
        <v>176</v>
      </c>
      <c r="B6" s="64">
        <v>0</v>
      </c>
      <c r="C6" s="64">
        <f>457.01*12</f>
        <v>5484.12</v>
      </c>
      <c r="D6" s="64"/>
      <c r="E6" s="65"/>
    </row>
    <row r="7" spans="1:5" ht="15.6" thickBot="1" x14ac:dyDescent="0.3">
      <c r="A7" s="62" t="s">
        <v>2</v>
      </c>
      <c r="B7" s="66">
        <v>1000</v>
      </c>
      <c r="C7" s="66">
        <v>350</v>
      </c>
      <c r="D7" s="66">
        <v>1000</v>
      </c>
      <c r="E7" s="65"/>
    </row>
    <row r="8" spans="1:5" ht="16.2" thickTop="1" x14ac:dyDescent="0.3">
      <c r="A8" s="67" t="s">
        <v>108</v>
      </c>
      <c r="B8" s="68">
        <f>SUM(B5:B7)</f>
        <v>118825</v>
      </c>
      <c r="C8" s="158">
        <f>SUM(C5:C7)</f>
        <v>155834.12</v>
      </c>
      <c r="D8" s="68">
        <f>SUM(D5:D7)</f>
        <v>139745</v>
      </c>
      <c r="E8" s="65"/>
    </row>
    <row r="9" spans="1:5" ht="15.6" x14ac:dyDescent="0.3">
      <c r="A9" s="57" t="s">
        <v>4</v>
      </c>
      <c r="B9" s="64"/>
      <c r="C9" s="64"/>
      <c r="D9" s="64"/>
      <c r="E9" s="65"/>
    </row>
    <row r="10" spans="1:5" ht="15.6" x14ac:dyDescent="0.3">
      <c r="A10" s="57" t="s">
        <v>5</v>
      </c>
      <c r="B10" s="64"/>
      <c r="C10" s="64"/>
      <c r="D10" s="64"/>
      <c r="E10" s="65"/>
    </row>
    <row r="11" spans="1:5" x14ac:dyDescent="0.25">
      <c r="A11" s="62" t="s">
        <v>38</v>
      </c>
      <c r="B11" s="64">
        <v>2000</v>
      </c>
      <c r="C11" s="64">
        <v>2000</v>
      </c>
      <c r="D11" s="64">
        <v>2000</v>
      </c>
      <c r="E11" s="65"/>
    </row>
    <row r="12" spans="1:5" x14ac:dyDescent="0.25">
      <c r="A12" s="62" t="s">
        <v>7</v>
      </c>
      <c r="B12" s="64">
        <v>425</v>
      </c>
      <c r="C12" s="64">
        <v>460</v>
      </c>
      <c r="D12" s="64">
        <v>425</v>
      </c>
      <c r="E12" s="65"/>
    </row>
    <row r="13" spans="1:5" x14ac:dyDescent="0.25">
      <c r="A13" s="62" t="s">
        <v>82</v>
      </c>
      <c r="B13" s="64">
        <v>500</v>
      </c>
      <c r="C13" s="64">
        <v>200</v>
      </c>
      <c r="D13" s="64">
        <v>500</v>
      </c>
      <c r="E13" s="65"/>
    </row>
    <row r="14" spans="1:5" x14ac:dyDescent="0.25">
      <c r="A14" s="62" t="s">
        <v>8</v>
      </c>
      <c r="B14" s="64">
        <v>300</v>
      </c>
      <c r="C14" s="64">
        <v>300</v>
      </c>
      <c r="D14" s="64">
        <v>300</v>
      </c>
      <c r="E14" s="65"/>
    </row>
    <row r="15" spans="1:5" x14ac:dyDescent="0.25">
      <c r="A15" s="62" t="s">
        <v>11</v>
      </c>
      <c r="B15" s="64">
        <v>100</v>
      </c>
      <c r="C15" s="64">
        <v>100</v>
      </c>
      <c r="D15" s="64">
        <v>100</v>
      </c>
      <c r="E15" s="65"/>
    </row>
    <row r="16" spans="1:5" x14ac:dyDescent="0.25">
      <c r="A16" s="62" t="s">
        <v>31</v>
      </c>
      <c r="B16" s="64">
        <v>350</v>
      </c>
      <c r="C16" s="64">
        <v>390</v>
      </c>
      <c r="D16" s="64">
        <v>350</v>
      </c>
      <c r="E16" s="65"/>
    </row>
    <row r="17" spans="1:7" ht="15.6" thickBot="1" x14ac:dyDescent="0.3">
      <c r="A17" s="62" t="s">
        <v>12</v>
      </c>
      <c r="B17" s="70">
        <v>150</v>
      </c>
      <c r="C17" s="70">
        <v>150</v>
      </c>
      <c r="D17" s="70">
        <v>150</v>
      </c>
      <c r="E17" s="65"/>
    </row>
    <row r="18" spans="1:7" ht="15.6" x14ac:dyDescent="0.3">
      <c r="A18" s="57" t="s">
        <v>13</v>
      </c>
      <c r="B18" s="71">
        <f>SUM(B11:B17)</f>
        <v>3825</v>
      </c>
      <c r="C18" s="71">
        <f>SUM(C11:C17)</f>
        <v>3600</v>
      </c>
      <c r="D18" s="71">
        <f>SUM(D11:D17)</f>
        <v>3825</v>
      </c>
      <c r="E18" s="65"/>
    </row>
    <row r="19" spans="1:7" x14ac:dyDescent="0.25">
      <c r="B19" s="64"/>
      <c r="C19" s="64"/>
      <c r="D19" s="64"/>
      <c r="E19" s="65"/>
    </row>
    <row r="20" spans="1:7" ht="15.6" x14ac:dyDescent="0.3">
      <c r="A20" s="57" t="s">
        <v>14</v>
      </c>
      <c r="B20" s="64"/>
      <c r="C20" s="64"/>
      <c r="D20" s="64"/>
      <c r="E20" s="65"/>
    </row>
    <row r="21" spans="1:7" x14ac:dyDescent="0.25">
      <c r="A21" s="62" t="s">
        <v>15</v>
      </c>
      <c r="B21" s="64">
        <v>1900</v>
      </c>
      <c r="C21" s="64">
        <v>3800</v>
      </c>
      <c r="D21" s="64">
        <v>1900</v>
      </c>
      <c r="E21" s="65"/>
    </row>
    <row r="22" spans="1:7" x14ac:dyDescent="0.25">
      <c r="A22" s="62" t="s">
        <v>17</v>
      </c>
      <c r="B22" s="64">
        <v>2000</v>
      </c>
      <c r="C22" s="64">
        <v>2000</v>
      </c>
      <c r="D22" s="64">
        <v>2000</v>
      </c>
      <c r="E22" s="65"/>
    </row>
    <row r="23" spans="1:7" x14ac:dyDescent="0.25">
      <c r="A23" s="62" t="s">
        <v>18</v>
      </c>
      <c r="B23" s="64">
        <v>6100</v>
      </c>
      <c r="C23" s="64">
        <v>6100</v>
      </c>
      <c r="D23" s="64">
        <v>6100</v>
      </c>
      <c r="E23" s="65"/>
    </row>
    <row r="24" spans="1:7" x14ac:dyDescent="0.25">
      <c r="A24" s="62" t="s">
        <v>19</v>
      </c>
      <c r="B24" s="64">
        <v>5400</v>
      </c>
      <c r="C24" s="64">
        <f>450*12</f>
        <v>5400</v>
      </c>
      <c r="D24" s="64">
        <v>5400</v>
      </c>
      <c r="E24" s="65"/>
      <c r="G24" s="62">
        <f>475*12</f>
        <v>5700</v>
      </c>
    </row>
    <row r="25" spans="1:7" ht="15.6" thickBot="1" x14ac:dyDescent="0.3">
      <c r="A25" s="62" t="s">
        <v>20</v>
      </c>
      <c r="B25" s="70">
        <v>2000</v>
      </c>
      <c r="C25" s="70">
        <v>3200</v>
      </c>
      <c r="D25" s="70">
        <v>2000</v>
      </c>
      <c r="E25" s="65"/>
    </row>
    <row r="26" spans="1:7" ht="15.6" x14ac:dyDescent="0.3">
      <c r="A26" s="57" t="s">
        <v>21</v>
      </c>
      <c r="B26" s="71">
        <f>SUM(B21:B25)</f>
        <v>17400</v>
      </c>
      <c r="C26" s="71">
        <f>SUM(C21:C25)</f>
        <v>20500</v>
      </c>
      <c r="D26" s="71">
        <f>SUM(D21:D25)</f>
        <v>17400</v>
      </c>
      <c r="E26" s="65"/>
    </row>
    <row r="27" spans="1:7" x14ac:dyDescent="0.25">
      <c r="B27" s="64"/>
      <c r="C27" s="64"/>
      <c r="D27" s="64"/>
      <c r="E27" s="65"/>
    </row>
    <row r="28" spans="1:7" ht="15.6" x14ac:dyDescent="0.3">
      <c r="A28" s="57" t="s">
        <v>22</v>
      </c>
      <c r="B28" s="71">
        <v>56000</v>
      </c>
      <c r="C28" s="71">
        <f>4900*12</f>
        <v>58800</v>
      </c>
      <c r="D28" s="71">
        <v>70000</v>
      </c>
      <c r="E28" s="65">
        <f>55745</f>
        <v>55745</v>
      </c>
      <c r="F28" s="81">
        <f>D28-E28</f>
        <v>14255</v>
      </c>
    </row>
    <row r="29" spans="1:7" x14ac:dyDescent="0.25">
      <c r="B29" s="64"/>
      <c r="C29" s="64"/>
      <c r="D29" s="64"/>
      <c r="E29" s="65"/>
    </row>
    <row r="30" spans="1:7" ht="15.6" x14ac:dyDescent="0.3">
      <c r="A30" s="57" t="s">
        <v>23</v>
      </c>
      <c r="B30" s="64"/>
      <c r="C30" s="64"/>
      <c r="D30" s="64"/>
      <c r="E30" s="65"/>
      <c r="F30" s="81">
        <f>90000-56000</f>
        <v>34000</v>
      </c>
    </row>
    <row r="31" spans="1:7" x14ac:dyDescent="0.25">
      <c r="A31" s="62" t="s">
        <v>26</v>
      </c>
      <c r="B31" s="64">
        <v>6300</v>
      </c>
      <c r="C31" s="64">
        <f>525*12</f>
        <v>6300</v>
      </c>
      <c r="D31" s="64">
        <v>6300</v>
      </c>
      <c r="E31" s="65"/>
    </row>
    <row r="32" spans="1:7" x14ac:dyDescent="0.25">
      <c r="A32" s="62" t="s">
        <v>27</v>
      </c>
      <c r="B32" s="64">
        <v>12000</v>
      </c>
      <c r="C32" s="64">
        <v>12000</v>
      </c>
      <c r="D32" s="64">
        <f>1310*12</f>
        <v>15720</v>
      </c>
      <c r="E32" s="65"/>
    </row>
    <row r="33" spans="1:13" x14ac:dyDescent="0.25">
      <c r="A33" s="62" t="s">
        <v>28</v>
      </c>
      <c r="B33" s="64">
        <v>2600</v>
      </c>
      <c r="C33" s="64">
        <v>2600</v>
      </c>
      <c r="D33" s="64">
        <v>2600</v>
      </c>
      <c r="E33" s="65"/>
    </row>
    <row r="34" spans="1:13" x14ac:dyDescent="0.25">
      <c r="A34" s="62" t="s">
        <v>169</v>
      </c>
      <c r="B34" s="64">
        <v>2500</v>
      </c>
      <c r="C34" s="64">
        <v>2500</v>
      </c>
      <c r="D34" s="64">
        <v>5000</v>
      </c>
      <c r="E34" s="65"/>
    </row>
    <row r="35" spans="1:13" ht="15.6" thickBot="1" x14ac:dyDescent="0.3">
      <c r="A35" s="62" t="s">
        <v>29</v>
      </c>
      <c r="B35" s="70">
        <v>3000</v>
      </c>
      <c r="C35" s="70">
        <v>2500</v>
      </c>
      <c r="D35" s="70">
        <v>3200</v>
      </c>
      <c r="E35" s="65"/>
    </row>
    <row r="36" spans="1:13" ht="15.6" x14ac:dyDescent="0.3">
      <c r="A36" s="57" t="s">
        <v>30</v>
      </c>
      <c r="B36" s="71">
        <f>SUM(B31:B35)</f>
        <v>26400</v>
      </c>
      <c r="C36" s="71">
        <f>SUM(C31:C35)</f>
        <v>25900</v>
      </c>
      <c r="D36" s="71">
        <f>SUM(D31:D35)</f>
        <v>32820</v>
      </c>
      <c r="E36" s="65"/>
    </row>
    <row r="37" spans="1:13" x14ac:dyDescent="0.25">
      <c r="B37" s="64"/>
      <c r="C37" s="64"/>
      <c r="D37" s="64"/>
      <c r="E37" s="65"/>
    </row>
    <row r="38" spans="1:13" ht="15.6" x14ac:dyDescent="0.3">
      <c r="A38" s="57" t="s">
        <v>32</v>
      </c>
      <c r="B38" s="64"/>
      <c r="C38" s="64"/>
      <c r="D38" s="64"/>
      <c r="E38" s="65"/>
    </row>
    <row r="39" spans="1:13" x14ac:dyDescent="0.25">
      <c r="A39" s="62" t="s">
        <v>33</v>
      </c>
      <c r="B39" s="64">
        <v>1600</v>
      </c>
      <c r="C39" s="64">
        <v>1700</v>
      </c>
      <c r="D39" s="64">
        <v>1700</v>
      </c>
      <c r="E39" s="65"/>
    </row>
    <row r="40" spans="1:13" ht="15.6" thickBot="1" x14ac:dyDescent="0.3">
      <c r="A40" s="62" t="s">
        <v>34</v>
      </c>
      <c r="B40" s="70">
        <v>13600</v>
      </c>
      <c r="C40" s="70">
        <v>13000</v>
      </c>
      <c r="D40" s="70">
        <v>14000</v>
      </c>
      <c r="E40" s="65"/>
    </row>
    <row r="41" spans="1:13" ht="15.6" x14ac:dyDescent="0.3">
      <c r="A41" s="57" t="s">
        <v>35</v>
      </c>
      <c r="B41" s="71">
        <f>SUM(B39:B40)</f>
        <v>15200</v>
      </c>
      <c r="C41" s="71">
        <f>SUM(C39:C40)</f>
        <v>14700</v>
      </c>
      <c r="D41" s="71">
        <f>SUM(D39:D40)</f>
        <v>15700</v>
      </c>
      <c r="E41" s="65"/>
    </row>
    <row r="42" spans="1:13" x14ac:dyDescent="0.25">
      <c r="B42" s="64"/>
      <c r="C42" s="64"/>
      <c r="D42" s="64"/>
      <c r="E42" s="65"/>
      <c r="H42" s="62">
        <f>36000/12</f>
        <v>3000</v>
      </c>
    </row>
    <row r="43" spans="1:13" ht="15.6" x14ac:dyDescent="0.3">
      <c r="A43" s="57" t="s">
        <v>184</v>
      </c>
      <c r="B43" s="71"/>
      <c r="C43" s="71">
        <f>457.01*12</f>
        <v>5484.12</v>
      </c>
      <c r="D43" s="71"/>
      <c r="E43" s="65"/>
      <c r="H43" s="62">
        <f>2700/8</f>
        <v>337.5</v>
      </c>
    </row>
    <row r="44" spans="1:13" ht="16.2" thickBot="1" x14ac:dyDescent="0.35">
      <c r="A44" s="57" t="s">
        <v>70</v>
      </c>
      <c r="B44" s="72"/>
      <c r="C44" s="70">
        <v>0</v>
      </c>
      <c r="D44" s="72"/>
      <c r="E44" s="65"/>
      <c r="G44" s="71"/>
    </row>
    <row r="45" spans="1:13" ht="15.6" x14ac:dyDescent="0.3">
      <c r="A45" s="57" t="s">
        <v>83</v>
      </c>
      <c r="B45" s="68">
        <f>B41+B36+B28+B26+B18</f>
        <v>118825</v>
      </c>
      <c r="C45" s="68">
        <f>SUM(C41+C36+C28+C26+C18)</f>
        <v>123500</v>
      </c>
      <c r="D45" s="68">
        <f>D41+D36+D28+D26+D18</f>
        <v>139745</v>
      </c>
      <c r="E45" s="73"/>
      <c r="M45" s="62">
        <f>150000/108/26</f>
        <v>53.418803418803421</v>
      </c>
    </row>
    <row r="46" spans="1:13" x14ac:dyDescent="0.25">
      <c r="B46" s="77">
        <v>20400</v>
      </c>
    </row>
    <row r="47" spans="1:13" ht="33.75" customHeight="1" x14ac:dyDescent="0.3">
      <c r="A47" s="106" t="s">
        <v>171</v>
      </c>
      <c r="B47" s="106"/>
      <c r="C47" s="107" t="s">
        <v>112</v>
      </c>
    </row>
    <row r="48" spans="1:13" ht="33.75" customHeight="1" x14ac:dyDescent="0.3">
      <c r="A48" s="108" t="s">
        <v>101</v>
      </c>
      <c r="B48" s="88">
        <v>3.49E-2</v>
      </c>
      <c r="C48" s="143">
        <f>SUM(D45*0.0349)/12</f>
        <v>406.42504166666669</v>
      </c>
      <c r="D48" s="159">
        <f>C48*4*12</f>
        <v>19508.402000000002</v>
      </c>
      <c r="E48" s="81"/>
      <c r="H48" s="81"/>
    </row>
    <row r="49" spans="1:5" ht="68.55" customHeight="1" x14ac:dyDescent="0.3">
      <c r="A49" s="110" t="s">
        <v>102</v>
      </c>
      <c r="B49" s="88">
        <v>3.8600000000000002E-2</v>
      </c>
      <c r="C49" s="143">
        <f>SUM(D45*0.0386)/12</f>
        <v>449.51308333333333</v>
      </c>
      <c r="D49" s="159">
        <f>18*C49*12</f>
        <v>97094.826000000001</v>
      </c>
      <c r="E49" s="81"/>
    </row>
    <row r="50" spans="1:5" ht="33.75" customHeight="1" x14ac:dyDescent="0.3">
      <c r="A50" s="108" t="s">
        <v>103</v>
      </c>
      <c r="B50" s="88">
        <v>4.1399999999999999E-2</v>
      </c>
      <c r="C50" s="143">
        <f>SUM(D45*0.0414)/12</f>
        <v>482.12025</v>
      </c>
      <c r="D50" s="159">
        <f>C50*4*12</f>
        <v>23141.772000000001</v>
      </c>
      <c r="E50" s="81"/>
    </row>
    <row r="51" spans="1:5" ht="15.6" x14ac:dyDescent="0.3">
      <c r="D51" s="71">
        <f>D48+D49+D50</f>
        <v>139745</v>
      </c>
      <c r="E51" s="81"/>
    </row>
  </sheetData>
  <mergeCells count="1">
    <mergeCell ref="A1:D1"/>
  </mergeCells>
  <pageMargins left="0.25" right="0.28999999999999998" top="0.91" bottom="1" header="0.4" footer="0.5"/>
  <pageSetup scale="60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41"/>
  <sheetViews>
    <sheetView workbookViewId="0">
      <selection activeCell="I15" sqref="I15"/>
    </sheetView>
  </sheetViews>
  <sheetFormatPr defaultColWidth="8.77734375" defaultRowHeight="13.2" x14ac:dyDescent="0.25"/>
  <cols>
    <col min="1" max="1" width="24.44140625" customWidth="1"/>
    <col min="2" max="2" width="20.77734375" customWidth="1"/>
    <col min="3" max="3" width="19.21875" customWidth="1"/>
    <col min="4" max="4" width="23.44140625" customWidth="1"/>
    <col min="5" max="5" width="18.77734375" customWidth="1"/>
    <col min="7" max="7" width="15.44140625" bestFit="1" customWidth="1"/>
    <col min="8" max="8" width="15.44140625" hidden="1" customWidth="1"/>
    <col min="9" max="9" width="14.44140625" style="3" bestFit="1" customWidth="1"/>
  </cols>
  <sheetData>
    <row r="1" spans="1:9" ht="13.8" thickBot="1" x14ac:dyDescent="0.3"/>
    <row r="2" spans="1:9" ht="16.2" thickBot="1" x14ac:dyDescent="0.35">
      <c r="A2" s="173" t="s">
        <v>94</v>
      </c>
      <c r="B2" s="174"/>
      <c r="C2" s="174"/>
      <c r="D2" s="174"/>
      <c r="E2" s="174"/>
      <c r="F2" s="174"/>
      <c r="G2" s="174"/>
      <c r="H2" s="174"/>
      <c r="I2" s="175"/>
    </row>
    <row r="3" spans="1:9" x14ac:dyDescent="0.25">
      <c r="A3" s="7" t="s">
        <v>44</v>
      </c>
      <c r="B3" s="8" t="s">
        <v>45</v>
      </c>
      <c r="C3" s="8" t="s">
        <v>45</v>
      </c>
      <c r="D3" s="9" t="s">
        <v>46</v>
      </c>
      <c r="E3" s="8" t="s">
        <v>47</v>
      </c>
      <c r="F3" s="8" t="s">
        <v>48</v>
      </c>
      <c r="G3" s="33">
        <v>1</v>
      </c>
      <c r="H3" s="49">
        <v>0.7</v>
      </c>
      <c r="I3" s="56">
        <v>0.5</v>
      </c>
    </row>
    <row r="4" spans="1:9" x14ac:dyDescent="0.25">
      <c r="A4" s="10"/>
      <c r="B4" s="11" t="s">
        <v>49</v>
      </c>
      <c r="C4" s="11" t="s">
        <v>50</v>
      </c>
      <c r="D4" s="12" t="s">
        <v>51</v>
      </c>
      <c r="E4" s="11" t="s">
        <v>89</v>
      </c>
      <c r="F4" s="11" t="s">
        <v>52</v>
      </c>
      <c r="G4" s="11" t="s">
        <v>80</v>
      </c>
      <c r="H4" s="50" t="s">
        <v>80</v>
      </c>
      <c r="I4" s="13" t="s">
        <v>80</v>
      </c>
    </row>
    <row r="5" spans="1:9" x14ac:dyDescent="0.25">
      <c r="A5" s="10"/>
      <c r="B5" s="11"/>
      <c r="C5" s="11"/>
      <c r="D5" s="12"/>
      <c r="E5" s="11"/>
      <c r="F5" s="11"/>
      <c r="G5" s="11"/>
      <c r="H5" s="50"/>
      <c r="I5" s="53"/>
    </row>
    <row r="6" spans="1:9" x14ac:dyDescent="0.25">
      <c r="A6" s="10" t="s">
        <v>59</v>
      </c>
      <c r="B6" s="11">
        <v>10</v>
      </c>
      <c r="C6" s="15">
        <v>27069</v>
      </c>
      <c r="D6" s="12">
        <v>0.22</v>
      </c>
      <c r="E6" s="32">
        <f>E15*0.22</f>
        <v>17874.964799999998</v>
      </c>
      <c r="F6" s="14">
        <v>4</v>
      </c>
      <c r="G6" s="15">
        <f>(C6-E6)/5</f>
        <v>1838.8070400000004</v>
      </c>
      <c r="H6" s="51">
        <f t="shared" ref="H6:H11" si="0">G6*0.7</f>
        <v>1287.1649280000001</v>
      </c>
      <c r="I6" s="54">
        <f>SUM(G6*0.5)</f>
        <v>919.40352000000019</v>
      </c>
    </row>
    <row r="7" spans="1:9" x14ac:dyDescent="0.25">
      <c r="A7" s="10" t="s">
        <v>60</v>
      </c>
      <c r="B7" s="11">
        <v>12</v>
      </c>
      <c r="C7" s="15">
        <v>10000</v>
      </c>
      <c r="D7" s="12">
        <v>0.03</v>
      </c>
      <c r="E7" s="32">
        <f>E15*D7</f>
        <v>2437.4951999999998</v>
      </c>
      <c r="F7" s="14">
        <v>4</v>
      </c>
      <c r="G7" s="15">
        <f>(C7-E7)/5</f>
        <v>1512.5009600000001</v>
      </c>
      <c r="H7" s="51">
        <f t="shared" si="0"/>
        <v>1058.7506719999999</v>
      </c>
      <c r="I7" s="54">
        <f t="shared" ref="I7:I15" si="1">SUM(G7*0.5)</f>
        <v>756.25048000000004</v>
      </c>
    </row>
    <row r="8" spans="1:9" x14ac:dyDescent="0.25">
      <c r="A8" s="10" t="s">
        <v>53</v>
      </c>
      <c r="B8" s="11">
        <v>8</v>
      </c>
      <c r="C8" s="15">
        <v>21156</v>
      </c>
      <c r="D8" s="12">
        <v>0.17</v>
      </c>
      <c r="E8" s="32">
        <f>E15*D8</f>
        <v>13812.4728</v>
      </c>
      <c r="F8" s="14">
        <v>0</v>
      </c>
      <c r="G8" s="15">
        <f>(C8-E8)/1</f>
        <v>7343.5272000000004</v>
      </c>
      <c r="H8" s="51">
        <f t="shared" si="0"/>
        <v>5140.4690399999999</v>
      </c>
      <c r="I8" s="54">
        <f t="shared" si="1"/>
        <v>3671.7636000000002</v>
      </c>
    </row>
    <row r="9" spans="1:9" x14ac:dyDescent="0.25">
      <c r="A9" s="10" t="s">
        <v>61</v>
      </c>
      <c r="B9" s="11">
        <v>1</v>
      </c>
      <c r="C9" s="15">
        <v>1855</v>
      </c>
      <c r="D9" s="12">
        <f>8869/97701</f>
        <v>9.077696236476597E-2</v>
      </c>
      <c r="E9" s="32">
        <f>E15*D9</f>
        <v>7375.613667823256</v>
      </c>
      <c r="F9" s="14">
        <v>0</v>
      </c>
      <c r="G9" s="15">
        <v>77.62</v>
      </c>
      <c r="H9" s="51">
        <f t="shared" si="0"/>
        <v>54.334000000000003</v>
      </c>
      <c r="I9" s="54">
        <f t="shared" si="1"/>
        <v>38.81</v>
      </c>
    </row>
    <row r="10" spans="1:9" x14ac:dyDescent="0.25">
      <c r="A10" s="10" t="s">
        <v>62</v>
      </c>
      <c r="B10" s="11">
        <v>20</v>
      </c>
      <c r="C10" s="15">
        <v>14000</v>
      </c>
      <c r="D10" s="12">
        <f>7431/97701</f>
        <v>7.6058586913132928E-2</v>
      </c>
      <c r="E10" s="32">
        <f>E15*D10</f>
        <v>6179.7480173181439</v>
      </c>
      <c r="F10" s="14">
        <v>9</v>
      </c>
      <c r="G10" s="15">
        <f>(C10-E10)/10</f>
        <v>782.02519826818559</v>
      </c>
      <c r="H10" s="51">
        <f t="shared" si="0"/>
        <v>547.41763878772986</v>
      </c>
      <c r="I10" s="54">
        <f t="shared" si="1"/>
        <v>391.0125991340928</v>
      </c>
    </row>
    <row r="11" spans="1:9" x14ac:dyDescent="0.25">
      <c r="A11" s="10" t="s">
        <v>63</v>
      </c>
      <c r="B11" s="11">
        <v>1</v>
      </c>
      <c r="C11" s="15">
        <v>3060</v>
      </c>
      <c r="D11" s="12">
        <f>3060/97701</f>
        <v>3.1320047901249731E-2</v>
      </c>
      <c r="E11" s="32">
        <f>E15*D11</f>
        <v>2544.7488807688765</v>
      </c>
      <c r="F11" s="14">
        <v>0</v>
      </c>
      <c r="G11" s="15">
        <f>(C11-E11)/1</f>
        <v>515.25111923112354</v>
      </c>
      <c r="H11" s="51">
        <f t="shared" si="0"/>
        <v>360.67578346178647</v>
      </c>
      <c r="I11" s="54">
        <f t="shared" si="1"/>
        <v>257.62555961556177</v>
      </c>
    </row>
    <row r="12" spans="1:9" x14ac:dyDescent="0.25">
      <c r="A12" s="10" t="s">
        <v>64</v>
      </c>
      <c r="B12" s="11">
        <v>1</v>
      </c>
      <c r="C12" s="15">
        <v>0</v>
      </c>
      <c r="D12" s="12">
        <f>96/97701</f>
        <v>9.8258973807842289E-4</v>
      </c>
      <c r="E12" s="32">
        <f>E15*D12</f>
        <v>79.835259004513759</v>
      </c>
      <c r="F12" s="14">
        <v>0</v>
      </c>
      <c r="G12" s="15">
        <v>0</v>
      </c>
      <c r="H12" s="51">
        <f>G12*0.8</f>
        <v>0</v>
      </c>
      <c r="I12" s="54">
        <f t="shared" si="1"/>
        <v>0</v>
      </c>
    </row>
    <row r="13" spans="1:9" x14ac:dyDescent="0.25">
      <c r="A13" s="10" t="s">
        <v>54</v>
      </c>
      <c r="B13" s="11">
        <v>20</v>
      </c>
      <c r="C13" s="15">
        <v>300000</v>
      </c>
      <c r="D13" s="12">
        <f>36655/97701</f>
        <v>0.37517527967983949</v>
      </c>
      <c r="E13" s="32">
        <f>E15*D13</f>
        <v>30482.931445942209</v>
      </c>
      <c r="F13" s="14">
        <v>24</v>
      </c>
      <c r="G13" s="15">
        <f>(C13-E13)/F13</f>
        <v>11229.877856419074</v>
      </c>
      <c r="H13" s="51">
        <f>G13*0.7</f>
        <v>7860.9144994933513</v>
      </c>
      <c r="I13" s="54">
        <f t="shared" si="1"/>
        <v>5614.9389282095372</v>
      </c>
    </row>
    <row r="14" spans="1:9" x14ac:dyDescent="0.25">
      <c r="A14" s="10" t="s">
        <v>65</v>
      </c>
      <c r="B14" s="11">
        <v>1</v>
      </c>
      <c r="C14" s="15">
        <v>1411</v>
      </c>
      <c r="D14" s="12">
        <f>1411/97701</f>
        <v>1.4442022087798488E-2</v>
      </c>
      <c r="E14" s="32">
        <f>D14*E15</f>
        <v>1173.4119839100931</v>
      </c>
      <c r="F14" s="14">
        <v>0</v>
      </c>
      <c r="G14" s="15">
        <f>C14-E14</f>
        <v>237.58801608990689</v>
      </c>
      <c r="H14" s="51">
        <f>G14*0.7</f>
        <v>166.3116112629348</v>
      </c>
      <c r="I14" s="54">
        <f t="shared" si="1"/>
        <v>118.79400804495344</v>
      </c>
    </row>
    <row r="15" spans="1:9" ht="13.8" thickBot="1" x14ac:dyDescent="0.3">
      <c r="A15" s="17" t="s">
        <v>55</v>
      </c>
      <c r="B15" s="18"/>
      <c r="C15" s="19">
        <f>SUM(C6:C14)</f>
        <v>378551</v>
      </c>
      <c r="D15" s="20"/>
      <c r="E15" s="19">
        <f>73844.84+7405</f>
        <v>81249.84</v>
      </c>
      <c r="F15" s="19"/>
      <c r="G15" s="19">
        <f>SUM(G6:G14)</f>
        <v>23537.197390008292</v>
      </c>
      <c r="H15" s="52">
        <f>SUM(H6:H14)</f>
        <v>16476.038173005803</v>
      </c>
      <c r="I15" s="55">
        <f t="shared" si="1"/>
        <v>11768.598695004146</v>
      </c>
    </row>
    <row r="17" spans="1:9" ht="13.8" thickBot="1" x14ac:dyDescent="0.3"/>
    <row r="18" spans="1:9" ht="16.2" thickBot="1" x14ac:dyDescent="0.35">
      <c r="A18" s="163" t="s">
        <v>1</v>
      </c>
      <c r="B18" s="164"/>
      <c r="C18" s="164"/>
      <c r="D18" s="165"/>
      <c r="E18" s="57"/>
      <c r="G18" s="31"/>
    </row>
    <row r="19" spans="1:9" ht="62.4" x14ac:dyDescent="0.3">
      <c r="A19" s="22" t="s">
        <v>56</v>
      </c>
      <c r="B19" s="23" t="s">
        <v>57</v>
      </c>
      <c r="C19" s="24" t="s">
        <v>93</v>
      </c>
      <c r="D19" s="25" t="s">
        <v>68</v>
      </c>
      <c r="F19" s="31"/>
      <c r="H19" s="3"/>
      <c r="I19"/>
    </row>
    <row r="20" spans="1:9" ht="15" x14ac:dyDescent="0.25">
      <c r="A20" s="26" t="s">
        <v>39</v>
      </c>
      <c r="B20" s="27">
        <v>3.49E-2</v>
      </c>
      <c r="C20" s="28">
        <f>(I15/12/26)+H39</f>
        <v>334.24771761219279</v>
      </c>
      <c r="D20" s="29">
        <f>(G15/26/12)+H39</f>
        <v>371.96758522438557</v>
      </c>
      <c r="H20" s="3"/>
      <c r="I20"/>
    </row>
    <row r="21" spans="1:9" ht="27.75" customHeight="1" x14ac:dyDescent="0.25">
      <c r="A21" s="30" t="s">
        <v>40</v>
      </c>
      <c r="B21" s="27">
        <v>3.8600000000000002E-2</v>
      </c>
      <c r="C21" s="28">
        <f>(I15/12/26)+H40</f>
        <v>365.68476761219279</v>
      </c>
      <c r="D21" s="29">
        <f>(G15/26/12)+H40</f>
        <v>403.40463522438557</v>
      </c>
      <c r="H21" s="3"/>
      <c r="I21"/>
    </row>
    <row r="22" spans="1:9" ht="15" x14ac:dyDescent="0.25">
      <c r="A22" s="26" t="s">
        <v>41</v>
      </c>
      <c r="B22" s="27">
        <v>4.1399999999999999E-2</v>
      </c>
      <c r="C22" s="28">
        <f>(I15/12/26)+H41</f>
        <v>389.47496761219281</v>
      </c>
      <c r="D22" s="29">
        <f>(G15/26/12)+H41</f>
        <v>427.1948352243856</v>
      </c>
      <c r="H22" s="3"/>
      <c r="I22"/>
    </row>
    <row r="24" spans="1:9" ht="13.8" thickBot="1" x14ac:dyDescent="0.3"/>
    <row r="25" spans="1:9" x14ac:dyDescent="0.25">
      <c r="A25" s="166" t="s">
        <v>42</v>
      </c>
      <c r="B25" s="167"/>
      <c r="C25" s="167"/>
      <c r="D25" s="167"/>
      <c r="E25" s="167"/>
      <c r="F25" s="167"/>
      <c r="G25" s="167"/>
      <c r="H25" s="168"/>
    </row>
    <row r="26" spans="1:9" ht="13.8" thickBot="1" x14ac:dyDescent="0.3">
      <c r="A26" s="169"/>
      <c r="B26" s="170"/>
      <c r="C26" s="170"/>
      <c r="D26" s="170"/>
      <c r="E26" s="170"/>
      <c r="F26" s="170"/>
      <c r="G26" s="170"/>
      <c r="H26" s="171"/>
    </row>
    <row r="38" spans="8:8" ht="62.4" x14ac:dyDescent="0.3">
      <c r="H38" s="24" t="s">
        <v>58</v>
      </c>
    </row>
    <row r="39" spans="8:8" x14ac:dyDescent="0.25">
      <c r="H39" s="45">
        <f>(101958*0.0349)/12</f>
        <v>296.52785</v>
      </c>
    </row>
    <row r="40" spans="8:8" x14ac:dyDescent="0.25">
      <c r="H40" s="45">
        <f>(101958*0.0386)/12</f>
        <v>327.9649</v>
      </c>
    </row>
    <row r="41" spans="8:8" x14ac:dyDescent="0.25">
      <c r="H41" s="45">
        <f>(101958*0.0414)/12</f>
        <v>351.75510000000003</v>
      </c>
    </row>
  </sheetData>
  <mergeCells count="3">
    <mergeCell ref="A25:H26"/>
    <mergeCell ref="A2:I2"/>
    <mergeCell ref="A18:D18"/>
  </mergeCells>
  <pageMargins left="0.75" right="0.75" top="1" bottom="1" header="0.5" footer="0.5"/>
  <pageSetup scale="76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63"/>
  <sheetViews>
    <sheetView view="pageBreakPreview" topLeftCell="A39" zoomScale="60" workbookViewId="0">
      <selection activeCell="E62" sqref="A1:E62"/>
    </sheetView>
  </sheetViews>
  <sheetFormatPr defaultColWidth="8.77734375" defaultRowHeight="13.2" x14ac:dyDescent="0.25"/>
  <cols>
    <col min="1" max="1" width="34.44140625" bestFit="1" customWidth="1"/>
    <col min="2" max="2" width="28.44140625" style="3" bestFit="1" customWidth="1"/>
    <col min="3" max="3" width="24.44140625" style="3" customWidth="1"/>
    <col min="4" max="4" width="22.5546875" style="3" customWidth="1"/>
    <col min="5" max="5" width="28.44140625" customWidth="1"/>
    <col min="7" max="7" width="9.44140625" bestFit="1" customWidth="1"/>
  </cols>
  <sheetData>
    <row r="1" spans="1:5" ht="42.75" customHeight="1" x14ac:dyDescent="0.25">
      <c r="A1" s="161" t="s">
        <v>98</v>
      </c>
      <c r="B1" s="162"/>
      <c r="C1" s="162"/>
      <c r="D1" s="162"/>
    </row>
    <row r="3" spans="1:5" x14ac:dyDescent="0.25">
      <c r="B3" s="2" t="s">
        <v>99</v>
      </c>
      <c r="C3" s="2" t="s">
        <v>37</v>
      </c>
      <c r="D3" s="2" t="s">
        <v>72</v>
      </c>
      <c r="E3" s="43"/>
    </row>
    <row r="4" spans="1:5" x14ac:dyDescent="0.25">
      <c r="A4" s="1" t="s">
        <v>0</v>
      </c>
      <c r="B4" s="2">
        <v>2011</v>
      </c>
      <c r="C4" s="2">
        <v>2011</v>
      </c>
      <c r="D4" s="2">
        <v>2012</v>
      </c>
      <c r="E4" s="46"/>
    </row>
    <row r="5" spans="1:5" x14ac:dyDescent="0.25">
      <c r="A5" t="s">
        <v>1</v>
      </c>
      <c r="B5" s="4">
        <v>101958</v>
      </c>
      <c r="C5" s="4">
        <v>100000</v>
      </c>
      <c r="D5" s="4">
        <v>101958</v>
      </c>
      <c r="E5" s="48"/>
    </row>
    <row r="6" spans="1:5" x14ac:dyDescent="0.25">
      <c r="A6" t="s">
        <v>2</v>
      </c>
      <c r="B6" s="4">
        <v>200</v>
      </c>
      <c r="C6" s="4">
        <v>1000</v>
      </c>
      <c r="D6" s="4">
        <v>200</v>
      </c>
      <c r="E6" s="48"/>
    </row>
    <row r="7" spans="1:5" x14ac:dyDescent="0.25">
      <c r="A7" s="44" t="s">
        <v>81</v>
      </c>
      <c r="B7" s="4">
        <v>0</v>
      </c>
      <c r="C7" s="4"/>
      <c r="D7" s="4">
        <v>0</v>
      </c>
      <c r="E7" s="48"/>
    </row>
    <row r="8" spans="1:5" ht="13.8" thickBot="1" x14ac:dyDescent="0.3">
      <c r="A8" t="s">
        <v>3</v>
      </c>
      <c r="B8" s="5">
        <v>0</v>
      </c>
      <c r="C8" s="5">
        <v>50</v>
      </c>
      <c r="D8" s="5">
        <v>0</v>
      </c>
      <c r="E8" s="48"/>
    </row>
    <row r="9" spans="1:5" x14ac:dyDescent="0.25">
      <c r="A9" s="37"/>
      <c r="B9" s="35">
        <v>102158</v>
      </c>
      <c r="C9" s="35">
        <f>SUM(C5:C8)</f>
        <v>101050</v>
      </c>
      <c r="D9" s="40">
        <f>SUM(D5+D6)</f>
        <v>102158</v>
      </c>
      <c r="E9" s="48"/>
    </row>
    <row r="10" spans="1:5" x14ac:dyDescent="0.25">
      <c r="A10" s="1" t="s">
        <v>4</v>
      </c>
      <c r="B10" s="4"/>
      <c r="C10" s="4"/>
      <c r="D10" s="4"/>
      <c r="E10" s="48"/>
    </row>
    <row r="11" spans="1:5" x14ac:dyDescent="0.25">
      <c r="A11" s="1" t="s">
        <v>5</v>
      </c>
      <c r="B11" s="4"/>
      <c r="C11" s="4"/>
      <c r="D11" s="4"/>
      <c r="E11" s="48"/>
    </row>
    <row r="12" spans="1:5" x14ac:dyDescent="0.25">
      <c r="A12" t="s">
        <v>38</v>
      </c>
      <c r="B12" s="4">
        <v>13000</v>
      </c>
      <c r="C12" s="4">
        <v>13000</v>
      </c>
      <c r="D12" s="4">
        <v>10000</v>
      </c>
      <c r="E12" s="47"/>
    </row>
    <row r="13" spans="1:5" x14ac:dyDescent="0.25">
      <c r="A13" t="s">
        <v>6</v>
      </c>
      <c r="B13" s="4">
        <v>200</v>
      </c>
      <c r="C13" s="4">
        <v>250</v>
      </c>
      <c r="D13" s="4">
        <v>250</v>
      </c>
      <c r="E13" s="47"/>
    </row>
    <row r="14" spans="1:5" x14ac:dyDescent="0.25">
      <c r="A14" t="s">
        <v>7</v>
      </c>
      <c r="B14" s="4">
        <v>200</v>
      </c>
      <c r="C14" s="4">
        <v>260</v>
      </c>
      <c r="D14" s="4">
        <v>260</v>
      </c>
      <c r="E14" s="47"/>
    </row>
    <row r="15" spans="1:5" x14ac:dyDescent="0.25">
      <c r="A15" s="44" t="s">
        <v>82</v>
      </c>
      <c r="B15" s="4">
        <v>1000</v>
      </c>
      <c r="C15" s="4">
        <v>3000</v>
      </c>
      <c r="D15" s="4">
        <v>3000</v>
      </c>
      <c r="E15" s="47"/>
    </row>
    <row r="16" spans="1:5" x14ac:dyDescent="0.25">
      <c r="A16" t="s">
        <v>8</v>
      </c>
      <c r="B16" s="4">
        <v>200</v>
      </c>
      <c r="C16" s="4">
        <v>225</v>
      </c>
      <c r="D16" s="4">
        <v>250</v>
      </c>
      <c r="E16" s="47"/>
    </row>
    <row r="17" spans="1:5" x14ac:dyDescent="0.25">
      <c r="A17" t="s">
        <v>11</v>
      </c>
      <c r="B17" s="4">
        <v>120</v>
      </c>
      <c r="C17" s="4">
        <v>200</v>
      </c>
      <c r="D17" s="4">
        <v>200</v>
      </c>
      <c r="E17" s="47"/>
    </row>
    <row r="18" spans="1:5" x14ac:dyDescent="0.25">
      <c r="A18" t="s">
        <v>31</v>
      </c>
      <c r="B18" s="4">
        <v>300</v>
      </c>
      <c r="C18" s="4">
        <v>275</v>
      </c>
      <c r="D18" s="4">
        <v>300</v>
      </c>
      <c r="E18" s="47"/>
    </row>
    <row r="19" spans="1:5" ht="13.8" thickBot="1" x14ac:dyDescent="0.3">
      <c r="A19" t="s">
        <v>12</v>
      </c>
      <c r="B19" s="5">
        <v>180</v>
      </c>
      <c r="C19" s="5">
        <v>150</v>
      </c>
      <c r="D19" s="5">
        <v>170</v>
      </c>
      <c r="E19" s="47"/>
    </row>
    <row r="20" spans="1:5" x14ac:dyDescent="0.25">
      <c r="A20" s="1" t="s">
        <v>13</v>
      </c>
      <c r="B20" s="6">
        <v>15200</v>
      </c>
      <c r="C20" s="6">
        <f>SUM(C12:C19)</f>
        <v>17360</v>
      </c>
      <c r="D20" s="6">
        <f>SUM(D12:D19)</f>
        <v>14430</v>
      </c>
      <c r="E20" s="47"/>
    </row>
    <row r="21" spans="1:5" x14ac:dyDescent="0.25">
      <c r="B21" s="4"/>
      <c r="C21" s="4"/>
      <c r="D21" s="4"/>
      <c r="E21" s="47"/>
    </row>
    <row r="22" spans="1:5" x14ac:dyDescent="0.25">
      <c r="A22" s="1" t="s">
        <v>14</v>
      </c>
      <c r="B22" s="4"/>
      <c r="C22" s="4"/>
      <c r="D22" s="4"/>
      <c r="E22" s="47"/>
    </row>
    <row r="23" spans="1:5" x14ac:dyDescent="0.25">
      <c r="A23" t="s">
        <v>15</v>
      </c>
      <c r="B23" s="4">
        <v>12000</v>
      </c>
      <c r="C23" s="4">
        <f>1100*12</f>
        <v>13200</v>
      </c>
      <c r="D23" s="4">
        <v>13370</v>
      </c>
      <c r="E23" s="47"/>
    </row>
    <row r="24" spans="1:5" x14ac:dyDescent="0.25">
      <c r="A24" t="s">
        <v>16</v>
      </c>
      <c r="B24" s="4">
        <v>500</v>
      </c>
      <c r="C24" s="4">
        <v>200</v>
      </c>
      <c r="D24" s="4">
        <v>200</v>
      </c>
      <c r="E24" s="47"/>
    </row>
    <row r="25" spans="1:5" x14ac:dyDescent="0.25">
      <c r="A25" t="s">
        <v>17</v>
      </c>
      <c r="B25" s="4">
        <v>2500</v>
      </c>
      <c r="C25" s="4">
        <v>2000</v>
      </c>
      <c r="D25" s="4">
        <v>2200</v>
      </c>
      <c r="E25" s="47"/>
    </row>
    <row r="26" spans="1:5" x14ac:dyDescent="0.25">
      <c r="A26" t="s">
        <v>18</v>
      </c>
      <c r="B26" s="4">
        <v>3600</v>
      </c>
      <c r="C26" s="4">
        <v>3600</v>
      </c>
      <c r="D26" s="4">
        <f>300*12</f>
        <v>3600</v>
      </c>
      <c r="E26" s="47"/>
    </row>
    <row r="27" spans="1:5" x14ac:dyDescent="0.25">
      <c r="A27" t="s">
        <v>19</v>
      </c>
      <c r="B27" s="4">
        <v>4200</v>
      </c>
      <c r="C27" s="4">
        <v>4200</v>
      </c>
      <c r="D27" s="4">
        <v>4200</v>
      </c>
      <c r="E27" s="47"/>
    </row>
    <row r="28" spans="1:5" ht="13.8" thickBot="1" x14ac:dyDescent="0.3">
      <c r="A28" t="s">
        <v>20</v>
      </c>
      <c r="B28" s="5">
        <v>2000</v>
      </c>
      <c r="C28" s="5">
        <v>1800</v>
      </c>
      <c r="D28" s="5">
        <v>2000</v>
      </c>
      <c r="E28" s="47"/>
    </row>
    <row r="29" spans="1:5" x14ac:dyDescent="0.25">
      <c r="A29" s="1" t="s">
        <v>21</v>
      </c>
      <c r="B29" s="6">
        <v>24800</v>
      </c>
      <c r="C29" s="6">
        <f>SUM(C23:C28)</f>
        <v>25000</v>
      </c>
      <c r="D29" s="6">
        <f>SUM(D23:D28)</f>
        <v>25570</v>
      </c>
      <c r="E29" s="47"/>
    </row>
    <row r="30" spans="1:5" x14ac:dyDescent="0.25">
      <c r="B30" s="4"/>
      <c r="C30" s="4"/>
      <c r="D30" s="4"/>
      <c r="E30" s="47"/>
    </row>
    <row r="31" spans="1:5" x14ac:dyDescent="0.25">
      <c r="A31" s="1" t="s">
        <v>22</v>
      </c>
      <c r="B31" s="6">
        <v>24058</v>
      </c>
      <c r="C31" s="6">
        <v>21000</v>
      </c>
      <c r="D31" s="6">
        <v>24058</v>
      </c>
      <c r="E31" s="47"/>
    </row>
    <row r="32" spans="1:5" x14ac:dyDescent="0.25">
      <c r="B32" s="4"/>
      <c r="C32" s="4"/>
      <c r="D32" s="4"/>
      <c r="E32" s="47"/>
    </row>
    <row r="33" spans="1:7" x14ac:dyDescent="0.25">
      <c r="A33" s="1" t="s">
        <v>23</v>
      </c>
      <c r="B33" s="4"/>
      <c r="C33" s="4"/>
      <c r="D33" s="4"/>
      <c r="E33" s="47"/>
    </row>
    <row r="34" spans="1:7" x14ac:dyDescent="0.25">
      <c r="A34" t="s">
        <v>26</v>
      </c>
      <c r="B34" s="4">
        <v>5000</v>
      </c>
      <c r="C34" s="4">
        <f>405*12</f>
        <v>4860</v>
      </c>
      <c r="D34" s="4">
        <v>5000</v>
      </c>
      <c r="E34" s="47"/>
    </row>
    <row r="35" spans="1:7" x14ac:dyDescent="0.25">
      <c r="A35" t="s">
        <v>27</v>
      </c>
      <c r="B35" s="4">
        <v>10500</v>
      </c>
      <c r="C35" s="4">
        <v>9600</v>
      </c>
      <c r="D35" s="4">
        <v>10500</v>
      </c>
      <c r="E35" s="47"/>
    </row>
    <row r="36" spans="1:7" x14ac:dyDescent="0.25">
      <c r="A36" t="s">
        <v>28</v>
      </c>
      <c r="B36" s="4">
        <v>1300</v>
      </c>
      <c r="C36" s="4">
        <v>0</v>
      </c>
      <c r="D36" s="4">
        <v>1300</v>
      </c>
      <c r="E36" s="47"/>
    </row>
    <row r="37" spans="1:7" x14ac:dyDescent="0.25">
      <c r="A37" s="44" t="s">
        <v>88</v>
      </c>
      <c r="B37" s="4">
        <v>300</v>
      </c>
      <c r="C37" s="4">
        <v>300</v>
      </c>
      <c r="D37" s="4">
        <v>300</v>
      </c>
      <c r="E37" s="47"/>
    </row>
    <row r="38" spans="1:7" ht="13.8" thickBot="1" x14ac:dyDescent="0.3">
      <c r="A38" t="s">
        <v>29</v>
      </c>
      <c r="B38" s="5">
        <v>1700</v>
      </c>
      <c r="C38" s="5">
        <v>3000</v>
      </c>
      <c r="D38" s="5">
        <v>1700</v>
      </c>
      <c r="E38" s="47"/>
    </row>
    <row r="39" spans="1:7" x14ac:dyDescent="0.25">
      <c r="A39" s="1" t="s">
        <v>30</v>
      </c>
      <c r="B39" s="6">
        <v>18800</v>
      </c>
      <c r="C39" s="6">
        <f>SUM(C34:C38)</f>
        <v>17760</v>
      </c>
      <c r="D39" s="6">
        <f>SUM(D34:D38)</f>
        <v>18800</v>
      </c>
      <c r="E39" s="47"/>
    </row>
    <row r="40" spans="1:7" x14ac:dyDescent="0.25">
      <c r="B40" s="4"/>
      <c r="C40" s="4"/>
      <c r="D40" s="4"/>
      <c r="E40" s="47"/>
    </row>
    <row r="41" spans="1:7" x14ac:dyDescent="0.25">
      <c r="A41" s="1" t="s">
        <v>32</v>
      </c>
      <c r="B41" s="4"/>
      <c r="C41" s="4"/>
      <c r="D41" s="4"/>
      <c r="E41" s="47"/>
    </row>
    <row r="42" spans="1:7" x14ac:dyDescent="0.25">
      <c r="A42" t="s">
        <v>33</v>
      </c>
      <c r="B42" s="4">
        <v>2800</v>
      </c>
      <c r="C42" s="4">
        <v>2300</v>
      </c>
      <c r="D42" s="4">
        <v>2800</v>
      </c>
      <c r="E42" s="47"/>
    </row>
    <row r="43" spans="1:7" ht="13.8" thickBot="1" x14ac:dyDescent="0.3">
      <c r="A43" t="s">
        <v>34</v>
      </c>
      <c r="B43" s="5">
        <v>16500</v>
      </c>
      <c r="C43" s="5">
        <v>15300</v>
      </c>
      <c r="D43" s="5">
        <v>16500</v>
      </c>
      <c r="E43" s="47"/>
    </row>
    <row r="44" spans="1:7" x14ac:dyDescent="0.25">
      <c r="A44" s="1" t="s">
        <v>35</v>
      </c>
      <c r="B44" s="6">
        <v>19300</v>
      </c>
      <c r="C44" s="6">
        <f>SUM(C42:C43)</f>
        <v>17600</v>
      </c>
      <c r="D44" s="6">
        <f>SUM(D42:D43)</f>
        <v>19300</v>
      </c>
      <c r="E44" s="48"/>
    </row>
    <row r="45" spans="1:7" x14ac:dyDescent="0.25">
      <c r="B45" s="4"/>
      <c r="C45" s="4"/>
      <c r="D45" s="4"/>
      <c r="E45" s="48"/>
    </row>
    <row r="46" spans="1:7" x14ac:dyDescent="0.25">
      <c r="A46" s="1" t="s">
        <v>69</v>
      </c>
      <c r="B46" s="6">
        <v>11768.598695004146</v>
      </c>
      <c r="C46" s="6">
        <v>17767</v>
      </c>
      <c r="D46" s="6">
        <v>11768.598695004146</v>
      </c>
      <c r="E46" s="48"/>
    </row>
    <row r="47" spans="1:7" ht="13.8" thickBot="1" x14ac:dyDescent="0.3">
      <c r="A47" s="1" t="s">
        <v>70</v>
      </c>
      <c r="B47" s="5">
        <v>23088</v>
      </c>
      <c r="C47" s="5"/>
      <c r="D47" s="36">
        <v>23088</v>
      </c>
      <c r="E47" s="48"/>
      <c r="G47" s="6"/>
    </row>
    <row r="48" spans="1:7" x14ac:dyDescent="0.25">
      <c r="A48" s="1" t="s">
        <v>83</v>
      </c>
      <c r="B48" s="35">
        <v>102158</v>
      </c>
      <c r="C48" s="35">
        <f>SUM(C44+C39+C31+C29+C20)</f>
        <v>98720</v>
      </c>
      <c r="D48" s="35">
        <f>D44+D39+D31+D29+D20</f>
        <v>102158</v>
      </c>
      <c r="E48" s="47"/>
    </row>
    <row r="49" spans="1:7" ht="13.8" thickBot="1" x14ac:dyDescent="0.3"/>
    <row r="50" spans="1:7" ht="16.2" thickBot="1" x14ac:dyDescent="0.35">
      <c r="A50" s="163" t="s">
        <v>1</v>
      </c>
      <c r="B50" s="164"/>
      <c r="C50" s="164"/>
      <c r="D50" s="165"/>
      <c r="E50" s="57"/>
    </row>
    <row r="51" spans="1:7" ht="64.5" customHeight="1" x14ac:dyDescent="0.3">
      <c r="A51" s="22" t="s">
        <v>56</v>
      </c>
      <c r="B51" s="23" t="s">
        <v>57</v>
      </c>
      <c r="C51" s="24" t="s">
        <v>104</v>
      </c>
      <c r="D51" s="25" t="s">
        <v>68</v>
      </c>
      <c r="E51" s="31"/>
    </row>
    <row r="52" spans="1:7" ht="15.6" x14ac:dyDescent="0.3">
      <c r="A52" s="26" t="s">
        <v>85</v>
      </c>
      <c r="B52" s="27">
        <v>3.49E-2</v>
      </c>
      <c r="C52" s="28">
        <v>334.18908245317812</v>
      </c>
      <c r="D52" s="29">
        <v>389.03802250227136</v>
      </c>
    </row>
    <row r="53" spans="1:7" ht="60.6" x14ac:dyDescent="0.25">
      <c r="A53" s="30" t="s">
        <v>86</v>
      </c>
      <c r="B53" s="27">
        <v>3.8600000000000002E-2</v>
      </c>
      <c r="C53" s="28">
        <v>365.62613245317812</v>
      </c>
      <c r="D53" s="29">
        <v>420.47507250227136</v>
      </c>
    </row>
    <row r="54" spans="1:7" ht="15.6" x14ac:dyDescent="0.3">
      <c r="A54" s="26" t="s">
        <v>87</v>
      </c>
      <c r="B54" s="27">
        <v>4.1399999999999999E-2</v>
      </c>
      <c r="C54" s="28">
        <v>389.41633245317814</v>
      </c>
      <c r="D54" s="29">
        <v>444.26527250227139</v>
      </c>
    </row>
    <row r="56" spans="1:7" x14ac:dyDescent="0.25">
      <c r="A56" s="172" t="s">
        <v>58</v>
      </c>
      <c r="B56" s="172"/>
    </row>
    <row r="57" spans="1:7" ht="15.6" x14ac:dyDescent="0.3">
      <c r="A57" s="26" t="s">
        <v>90</v>
      </c>
      <c r="B57" s="45">
        <f>(101958*0.0349)/12</f>
        <v>296.52785</v>
      </c>
      <c r="C57" s="41"/>
      <c r="D57" s="41"/>
      <c r="E57" s="31"/>
    </row>
    <row r="58" spans="1:7" ht="60.6" x14ac:dyDescent="0.25">
      <c r="A58" s="30" t="s">
        <v>91</v>
      </c>
      <c r="B58" s="45">
        <f>(101958*0.0386)/12</f>
        <v>327.9649</v>
      </c>
      <c r="C58" s="41"/>
      <c r="D58" s="41"/>
      <c r="E58" s="31"/>
    </row>
    <row r="59" spans="1:7" ht="15.6" x14ac:dyDescent="0.3">
      <c r="A59" s="26" t="s">
        <v>92</v>
      </c>
      <c r="B59" s="45">
        <f>(101958*0.0414)/12</f>
        <v>351.75510000000003</v>
      </c>
      <c r="C59" s="41"/>
      <c r="D59" s="41"/>
      <c r="E59" s="31"/>
    </row>
    <row r="60" spans="1:7" ht="13.8" thickBot="1" x14ac:dyDescent="0.3">
      <c r="C60" s="41"/>
      <c r="E60" s="31"/>
    </row>
    <row r="61" spans="1:7" x14ac:dyDescent="0.25">
      <c r="A61" s="176" t="s">
        <v>105</v>
      </c>
      <c r="B61" s="177"/>
      <c r="C61" s="177"/>
      <c r="D61" s="178"/>
    </row>
    <row r="62" spans="1:7" ht="13.8" thickBot="1" x14ac:dyDescent="0.3">
      <c r="A62" s="179"/>
      <c r="B62" s="180"/>
      <c r="C62" s="180"/>
      <c r="D62" s="181"/>
    </row>
    <row r="63" spans="1:7" s="3" customFormat="1" x14ac:dyDescent="0.25">
      <c r="A63"/>
      <c r="C63" s="41"/>
      <c r="E63"/>
      <c r="F63"/>
      <c r="G63"/>
    </row>
  </sheetData>
  <mergeCells count="4">
    <mergeCell ref="A1:D1"/>
    <mergeCell ref="A50:D50"/>
    <mergeCell ref="A56:B56"/>
    <mergeCell ref="A61:D62"/>
  </mergeCells>
  <phoneticPr fontId="1" type="noConversion"/>
  <pageMargins left="0.25" right="0.28999999999999998" top="1" bottom="1" header="0.5" footer="0.5"/>
  <pageSetup scale="60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M41"/>
  <sheetViews>
    <sheetView view="pageBreakPreview" zoomScale="60" workbookViewId="0">
      <selection activeCell="I22" sqref="I22"/>
    </sheetView>
  </sheetViews>
  <sheetFormatPr defaultColWidth="8.77734375" defaultRowHeight="13.2" x14ac:dyDescent="0.25"/>
  <cols>
    <col min="1" max="1" width="24.44140625" customWidth="1"/>
    <col min="2" max="2" width="20.77734375" customWidth="1"/>
    <col min="3" max="3" width="19.21875" customWidth="1"/>
    <col min="4" max="4" width="23.44140625" customWidth="1"/>
    <col min="5" max="5" width="18.77734375" customWidth="1"/>
    <col min="7" max="7" width="20.21875" bestFit="1" customWidth="1"/>
    <col min="8" max="8" width="15.44140625" hidden="1" customWidth="1"/>
    <col min="9" max="9" width="20.21875" style="3" bestFit="1" customWidth="1"/>
    <col min="13" max="13" width="10.44140625" bestFit="1" customWidth="1"/>
  </cols>
  <sheetData>
    <row r="1" spans="1:9" ht="13.8" thickBot="1" x14ac:dyDescent="0.3"/>
    <row r="2" spans="1:9" ht="16.2" thickBot="1" x14ac:dyDescent="0.35">
      <c r="A2" s="173" t="s">
        <v>96</v>
      </c>
      <c r="B2" s="174"/>
      <c r="C2" s="174"/>
      <c r="D2" s="174"/>
      <c r="E2" s="174"/>
      <c r="F2" s="174"/>
      <c r="G2" s="174"/>
      <c r="H2" s="174"/>
      <c r="I2" s="175"/>
    </row>
    <row r="3" spans="1:9" x14ac:dyDescent="0.25">
      <c r="A3" s="7" t="s">
        <v>44</v>
      </c>
      <c r="B3" s="8" t="s">
        <v>45</v>
      </c>
      <c r="C3" s="8" t="s">
        <v>45</v>
      </c>
      <c r="D3" s="9" t="s">
        <v>46</v>
      </c>
      <c r="E3" s="8" t="s">
        <v>47</v>
      </c>
      <c r="F3" s="8" t="s">
        <v>48</v>
      </c>
      <c r="G3" s="33">
        <v>1</v>
      </c>
      <c r="H3" s="49">
        <v>0.7</v>
      </c>
      <c r="I3" s="56">
        <v>0.37</v>
      </c>
    </row>
    <row r="4" spans="1:9" x14ac:dyDescent="0.25">
      <c r="A4" s="10"/>
      <c r="B4" s="11" t="s">
        <v>49</v>
      </c>
      <c r="C4" s="11" t="s">
        <v>50</v>
      </c>
      <c r="D4" s="12" t="s">
        <v>51</v>
      </c>
      <c r="E4" s="11" t="s">
        <v>95</v>
      </c>
      <c r="F4" s="11" t="s">
        <v>52</v>
      </c>
      <c r="G4" s="11" t="s">
        <v>97</v>
      </c>
      <c r="H4" s="50" t="s">
        <v>80</v>
      </c>
      <c r="I4" s="13" t="s">
        <v>97</v>
      </c>
    </row>
    <row r="5" spans="1:9" x14ac:dyDescent="0.25">
      <c r="A5" s="10"/>
      <c r="B5" s="11"/>
      <c r="C5" s="11"/>
      <c r="D5" s="12"/>
      <c r="E5" s="11"/>
      <c r="F5" s="11"/>
      <c r="G5" s="11"/>
      <c r="H5" s="50"/>
      <c r="I5" s="53"/>
    </row>
    <row r="6" spans="1:9" x14ac:dyDescent="0.25">
      <c r="A6" s="10" t="s">
        <v>59</v>
      </c>
      <c r="B6" s="11">
        <v>9</v>
      </c>
      <c r="C6" s="15">
        <v>27069</v>
      </c>
      <c r="D6" s="12">
        <v>0.22</v>
      </c>
      <c r="E6" s="32">
        <f>E15*0.22</f>
        <v>21282.093799999999</v>
      </c>
      <c r="F6" s="14">
        <v>3</v>
      </c>
      <c r="G6" s="15">
        <f>(C6-E6)/F6</f>
        <v>1928.9687333333338</v>
      </c>
      <c r="H6" s="51">
        <f t="shared" ref="H6:H11" si="0">G6*0.7</f>
        <v>1350.2781133333335</v>
      </c>
      <c r="I6" s="54">
        <f>SUM(G6*0.37)</f>
        <v>713.71843133333346</v>
      </c>
    </row>
    <row r="7" spans="1:9" x14ac:dyDescent="0.25">
      <c r="A7" s="10" t="s">
        <v>60</v>
      </c>
      <c r="B7" s="11">
        <v>12</v>
      </c>
      <c r="C7" s="15">
        <v>10000</v>
      </c>
      <c r="D7" s="12">
        <v>0.03</v>
      </c>
      <c r="E7" s="32">
        <f>E15*D7</f>
        <v>2902.1036999999997</v>
      </c>
      <c r="F7" s="14">
        <v>3</v>
      </c>
      <c r="G7" s="15">
        <f t="shared" ref="G7:G13" si="1">(C7-E7)/F7</f>
        <v>2365.9654333333333</v>
      </c>
      <c r="H7" s="51">
        <f t="shared" si="0"/>
        <v>1656.1758033333333</v>
      </c>
      <c r="I7" s="54">
        <f>SUM(G7*0.37)</f>
        <v>875.4072103333333</v>
      </c>
    </row>
    <row r="8" spans="1:9" x14ac:dyDescent="0.25">
      <c r="A8" s="10" t="s">
        <v>53</v>
      </c>
      <c r="B8" s="11">
        <v>8</v>
      </c>
      <c r="C8" s="15">
        <v>21156</v>
      </c>
      <c r="D8" s="12">
        <v>0.17</v>
      </c>
      <c r="E8" s="32">
        <f>(E15*D8)-1800</f>
        <v>14645.254300000001</v>
      </c>
      <c r="F8" s="14">
        <v>4</v>
      </c>
      <c r="G8" s="15">
        <f t="shared" si="1"/>
        <v>1627.6864249999999</v>
      </c>
      <c r="H8" s="51">
        <f t="shared" si="0"/>
        <v>1139.3804974999998</v>
      </c>
      <c r="I8" s="54">
        <f>SUM(G8*0.37)</f>
        <v>602.24397724999994</v>
      </c>
    </row>
    <row r="9" spans="1:9" x14ac:dyDescent="0.25">
      <c r="A9" s="10" t="s">
        <v>61</v>
      </c>
      <c r="B9" s="11">
        <v>1</v>
      </c>
      <c r="C9" s="15">
        <v>1855</v>
      </c>
      <c r="D9" s="12">
        <v>0</v>
      </c>
      <c r="E9" s="32">
        <v>1855</v>
      </c>
      <c r="F9" s="14">
        <v>1</v>
      </c>
      <c r="G9" s="15">
        <f t="shared" si="1"/>
        <v>0</v>
      </c>
      <c r="H9" s="51">
        <f t="shared" si="0"/>
        <v>0</v>
      </c>
      <c r="I9" s="54">
        <f t="shared" ref="I9:I14" si="2">SUM(G9*0.5)</f>
        <v>0</v>
      </c>
    </row>
    <row r="10" spans="1:9" x14ac:dyDescent="0.25">
      <c r="A10" s="10" t="s">
        <v>62</v>
      </c>
      <c r="B10" s="11">
        <v>20</v>
      </c>
      <c r="C10" s="15">
        <v>14000</v>
      </c>
      <c r="D10" s="12">
        <f>7431/97701</f>
        <v>7.6058586913132928E-2</v>
      </c>
      <c r="E10" s="32">
        <f>E15*D10</f>
        <v>7357.6635499124877</v>
      </c>
      <c r="F10" s="14">
        <v>8</v>
      </c>
      <c r="G10" s="15">
        <f t="shared" si="1"/>
        <v>830.29205626093903</v>
      </c>
      <c r="H10" s="51">
        <f t="shared" si="0"/>
        <v>581.20443938265726</v>
      </c>
      <c r="I10" s="54">
        <f>SUM(G10*0.37)</f>
        <v>307.20806081654746</v>
      </c>
    </row>
    <row r="11" spans="1:9" x14ac:dyDescent="0.25">
      <c r="A11" s="10" t="s">
        <v>63</v>
      </c>
      <c r="B11" s="11">
        <v>1</v>
      </c>
      <c r="C11" s="15">
        <v>3060</v>
      </c>
      <c r="D11" s="12">
        <v>0</v>
      </c>
      <c r="E11" s="32">
        <v>3060</v>
      </c>
      <c r="F11" s="14">
        <v>1</v>
      </c>
      <c r="G11" s="15">
        <f t="shared" si="1"/>
        <v>0</v>
      </c>
      <c r="H11" s="51">
        <f t="shared" si="0"/>
        <v>0</v>
      </c>
      <c r="I11" s="54">
        <f t="shared" si="2"/>
        <v>0</v>
      </c>
    </row>
    <row r="12" spans="1:9" x14ac:dyDescent="0.25">
      <c r="A12" s="10" t="s">
        <v>64</v>
      </c>
      <c r="B12" s="11">
        <v>5</v>
      </c>
      <c r="C12" s="15">
        <v>20000</v>
      </c>
      <c r="D12" s="12">
        <v>0.13</v>
      </c>
      <c r="E12" s="32">
        <f>E15*D12</f>
        <v>12575.7827</v>
      </c>
      <c r="F12" s="14">
        <v>1</v>
      </c>
      <c r="G12" s="15">
        <f t="shared" si="1"/>
        <v>7424.2173000000003</v>
      </c>
      <c r="H12" s="51">
        <f>G12*0.8</f>
        <v>5939.3738400000002</v>
      </c>
      <c r="I12" s="54">
        <f>SUM(G12*0.37)</f>
        <v>2746.9604010000003</v>
      </c>
    </row>
    <row r="13" spans="1:9" x14ac:dyDescent="0.25">
      <c r="A13" s="10" t="s">
        <v>54</v>
      </c>
      <c r="B13" s="11">
        <v>20</v>
      </c>
      <c r="C13" s="15">
        <v>300000</v>
      </c>
      <c r="D13" s="12">
        <f>36655/97701</f>
        <v>0.37517527967983949</v>
      </c>
      <c r="E13" s="32">
        <f>E15*D13</f>
        <v>36293.252243579896</v>
      </c>
      <c r="F13" s="14">
        <v>15</v>
      </c>
      <c r="G13" s="15">
        <f t="shared" si="1"/>
        <v>17580.449850428009</v>
      </c>
      <c r="H13" s="51">
        <f>G13*0.7</f>
        <v>12306.314895299605</v>
      </c>
      <c r="I13" s="54">
        <f>SUM(G13*0.37)</f>
        <v>6504.7664446583631</v>
      </c>
    </row>
    <row r="14" spans="1:9" x14ac:dyDescent="0.25">
      <c r="A14" s="10" t="s">
        <v>65</v>
      </c>
      <c r="B14" s="11">
        <v>5</v>
      </c>
      <c r="C14" s="15">
        <v>1411</v>
      </c>
      <c r="D14" s="12">
        <v>0</v>
      </c>
      <c r="E14" s="32">
        <v>1411</v>
      </c>
      <c r="F14" s="14">
        <v>1</v>
      </c>
      <c r="G14" s="15">
        <v>0</v>
      </c>
      <c r="H14" s="51">
        <f>G14*0.7</f>
        <v>0</v>
      </c>
      <c r="I14" s="54">
        <f t="shared" si="2"/>
        <v>0</v>
      </c>
    </row>
    <row r="15" spans="1:9" ht="13.8" thickBot="1" x14ac:dyDescent="0.3">
      <c r="A15" s="17" t="s">
        <v>55</v>
      </c>
      <c r="B15" s="18"/>
      <c r="C15" s="19">
        <f>SUM(C6:C14)</f>
        <v>398551</v>
      </c>
      <c r="D15" s="20">
        <f>SUM(D6:D14)</f>
        <v>1.0012338665929725</v>
      </c>
      <c r="E15" s="19">
        <f>A33+96736.79</f>
        <v>96736.79</v>
      </c>
      <c r="F15" s="19"/>
      <c r="G15" s="19">
        <f>SUM(G6:G14)</f>
        <v>31757.579798355615</v>
      </c>
      <c r="H15" s="52">
        <f>SUM(H6:H14)</f>
        <v>22972.727588848931</v>
      </c>
      <c r="I15" s="55">
        <f>SUM(G15*0.37)</f>
        <v>11750.304525391577</v>
      </c>
    </row>
    <row r="17" spans="1:13" ht="13.8" thickBot="1" x14ac:dyDescent="0.3"/>
    <row r="18" spans="1:13" ht="16.2" thickBot="1" x14ac:dyDescent="0.35">
      <c r="A18" s="163" t="s">
        <v>1</v>
      </c>
      <c r="B18" s="164"/>
      <c r="C18" s="164"/>
      <c r="D18" s="165"/>
      <c r="E18" s="57"/>
      <c r="G18" s="31"/>
    </row>
    <row r="19" spans="1:13" ht="62.4" x14ac:dyDescent="0.3">
      <c r="A19" s="22" t="s">
        <v>56</v>
      </c>
      <c r="B19" s="23" t="s">
        <v>57</v>
      </c>
      <c r="C19" s="24" t="s">
        <v>104</v>
      </c>
      <c r="D19" s="25" t="s">
        <v>68</v>
      </c>
      <c r="F19" s="31"/>
      <c r="H19" s="3"/>
      <c r="I19"/>
    </row>
    <row r="20" spans="1:13" ht="18.75" customHeight="1" x14ac:dyDescent="0.25">
      <c r="A20" s="30" t="s">
        <v>101</v>
      </c>
      <c r="B20" s="27">
        <v>3.49E-2</v>
      </c>
      <c r="C20" s="28">
        <f>(I15/12/26)+D39</f>
        <v>334.18908245317812</v>
      </c>
      <c r="D20" s="29">
        <f>(G15/26/12)+D39</f>
        <v>398.3149647383193</v>
      </c>
      <c r="H20" s="3"/>
      <c r="I20"/>
    </row>
    <row r="21" spans="1:13" ht="75" x14ac:dyDescent="0.25">
      <c r="A21" s="30" t="s">
        <v>102</v>
      </c>
      <c r="B21" s="27">
        <v>3.8600000000000002E-2</v>
      </c>
      <c r="C21" s="28">
        <f>(I15/12/26)+D40</f>
        <v>365.62613245317812</v>
      </c>
      <c r="D21" s="29">
        <f>(G15/26/12)+D40</f>
        <v>429.7520147383193</v>
      </c>
      <c r="H21" s="3"/>
      <c r="I21">
        <f>I15/12</f>
        <v>979.19204378263146</v>
      </c>
    </row>
    <row r="22" spans="1:13" ht="28.5" customHeight="1" x14ac:dyDescent="0.25">
      <c r="A22" s="30" t="s">
        <v>103</v>
      </c>
      <c r="B22" s="27">
        <v>4.1399999999999999E-2</v>
      </c>
      <c r="C22" s="28">
        <f>(I15/12/26)+D41</f>
        <v>389.41633245317814</v>
      </c>
      <c r="D22" s="29">
        <f>(G15/26/12)+D41</f>
        <v>453.54221473831933</v>
      </c>
      <c r="H22" s="3"/>
      <c r="I22"/>
    </row>
    <row r="24" spans="1:13" ht="13.8" thickBot="1" x14ac:dyDescent="0.3"/>
    <row r="25" spans="1:13" x14ac:dyDescent="0.25">
      <c r="A25" s="182" t="s">
        <v>42</v>
      </c>
      <c r="B25" s="183"/>
      <c r="C25" s="183"/>
      <c r="D25" s="183"/>
      <c r="E25" s="183"/>
      <c r="F25" s="183"/>
      <c r="G25" s="183"/>
      <c r="H25" s="184"/>
    </row>
    <row r="26" spans="1:13" ht="13.8" thickBot="1" x14ac:dyDescent="0.3">
      <c r="A26" s="185"/>
      <c r="B26" s="186"/>
      <c r="C26" s="186"/>
      <c r="D26" s="186"/>
      <c r="E26" s="186"/>
      <c r="F26" s="186"/>
      <c r="G26" s="186"/>
      <c r="H26" s="187"/>
      <c r="M26" s="31">
        <f>SUM(I15/12)</f>
        <v>979.19204378263146</v>
      </c>
    </row>
    <row r="27" spans="1:13" ht="13.8" thickBot="1" x14ac:dyDescent="0.3">
      <c r="M27" s="31">
        <f>M26*7</f>
        <v>6854.3443064784205</v>
      </c>
    </row>
    <row r="28" spans="1:13" x14ac:dyDescent="0.25">
      <c r="A28" s="176" t="s">
        <v>100</v>
      </c>
      <c r="B28" s="177"/>
      <c r="C28" s="177"/>
      <c r="D28" s="177"/>
      <c r="E28" s="177"/>
      <c r="F28" s="177"/>
      <c r="G28" s="178"/>
    </row>
    <row r="29" spans="1:13" x14ac:dyDescent="0.25">
      <c r="A29" s="188"/>
      <c r="B29" s="189"/>
      <c r="C29" s="189"/>
      <c r="D29" s="189"/>
      <c r="E29" s="189"/>
      <c r="F29" s="189"/>
      <c r="G29" s="190"/>
    </row>
    <row r="30" spans="1:13" ht="13.8" thickBot="1" x14ac:dyDescent="0.3">
      <c r="A30" s="179"/>
      <c r="B30" s="180"/>
      <c r="C30" s="180"/>
      <c r="D30" s="180"/>
      <c r="E30" s="180"/>
      <c r="F30" s="180"/>
      <c r="G30" s="181"/>
    </row>
    <row r="31" spans="1:13" x14ac:dyDescent="0.25">
      <c r="A31" s="4"/>
      <c r="B31" s="44"/>
      <c r="D31" s="31"/>
    </row>
    <row r="32" spans="1:13" x14ac:dyDescent="0.25">
      <c r="A32" s="4"/>
      <c r="B32" s="44"/>
    </row>
    <row r="33" spans="1:4" x14ac:dyDescent="0.25">
      <c r="A33" s="4"/>
      <c r="B33" s="44"/>
    </row>
    <row r="38" spans="1:4" ht="31.2" x14ac:dyDescent="0.3">
      <c r="D38" s="24" t="s">
        <v>58</v>
      </c>
    </row>
    <row r="39" spans="1:4" x14ac:dyDescent="0.25">
      <c r="D39" s="45">
        <f>(101958*0.0349)/12</f>
        <v>296.52785</v>
      </c>
    </row>
    <row r="40" spans="1:4" x14ac:dyDescent="0.25">
      <c r="D40" s="45">
        <f>(101958*0.0386)/12</f>
        <v>327.9649</v>
      </c>
    </row>
    <row r="41" spans="1:4" x14ac:dyDescent="0.25">
      <c r="D41" s="45">
        <f>(101958*0.0414)/12</f>
        <v>351.75510000000003</v>
      </c>
    </row>
  </sheetData>
  <mergeCells count="4">
    <mergeCell ref="A2:I2"/>
    <mergeCell ref="A18:D18"/>
    <mergeCell ref="A25:H26"/>
    <mergeCell ref="A28:G30"/>
  </mergeCells>
  <phoneticPr fontId="1" type="noConversion"/>
  <pageMargins left="0.75" right="0.75" top="1" bottom="1" header="0.5" footer="0.5"/>
  <pageSetup scale="71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53"/>
  <sheetViews>
    <sheetView topLeftCell="A22" workbookViewId="0">
      <selection activeCell="E29" sqref="E29"/>
    </sheetView>
  </sheetViews>
  <sheetFormatPr defaultColWidth="8.77734375" defaultRowHeight="13.2" x14ac:dyDescent="0.25"/>
  <cols>
    <col min="1" max="1" width="34.44140625" bestFit="1" customWidth="1"/>
    <col min="2" max="2" width="28.44140625" style="3" bestFit="1" customWidth="1"/>
    <col min="3" max="3" width="24.44140625" style="3" customWidth="1"/>
    <col min="4" max="4" width="22.5546875" style="3" customWidth="1"/>
    <col min="5" max="5" width="24.77734375" bestFit="1" customWidth="1"/>
    <col min="7" max="7" width="9.44140625" bestFit="1" customWidth="1"/>
  </cols>
  <sheetData>
    <row r="1" spans="1:5" ht="42.75" customHeight="1" x14ac:dyDescent="0.25">
      <c r="A1" s="161" t="s">
        <v>106</v>
      </c>
      <c r="B1" s="162"/>
      <c r="C1" s="162"/>
      <c r="D1" s="162"/>
    </row>
    <row r="3" spans="1:5" x14ac:dyDescent="0.25">
      <c r="B3" s="2" t="s">
        <v>107</v>
      </c>
      <c r="C3" s="2" t="s">
        <v>37</v>
      </c>
      <c r="D3" s="2" t="s">
        <v>72</v>
      </c>
      <c r="E3" s="43"/>
    </row>
    <row r="4" spans="1:5" x14ac:dyDescent="0.25">
      <c r="A4" s="1" t="s">
        <v>0</v>
      </c>
      <c r="B4" s="2">
        <v>2012</v>
      </c>
      <c r="C4" s="2">
        <v>2012</v>
      </c>
      <c r="D4" s="2">
        <v>2013</v>
      </c>
      <c r="E4" s="46"/>
    </row>
    <row r="5" spans="1:5" x14ac:dyDescent="0.25">
      <c r="A5" t="s">
        <v>1</v>
      </c>
      <c r="B5" s="4">
        <v>101958</v>
      </c>
      <c r="C5" s="4">
        <v>100000</v>
      </c>
      <c r="D5" s="4">
        <v>101958</v>
      </c>
      <c r="E5" s="48">
        <f>SUM(D5/12)</f>
        <v>8496.5</v>
      </c>
    </row>
    <row r="6" spans="1:5" ht="13.8" thickBot="1" x14ac:dyDescent="0.3">
      <c r="A6" t="s">
        <v>2</v>
      </c>
      <c r="B6" s="58">
        <v>200</v>
      </c>
      <c r="C6" s="58">
        <v>400</v>
      </c>
      <c r="D6" s="58">
        <v>200</v>
      </c>
      <c r="E6" s="48"/>
    </row>
    <row r="7" spans="1:5" ht="13.8" thickTop="1" x14ac:dyDescent="0.25">
      <c r="A7" s="37" t="s">
        <v>108</v>
      </c>
      <c r="B7" s="35">
        <v>102158</v>
      </c>
      <c r="C7" s="35">
        <f>SUM(C5:C6)</f>
        <v>100400</v>
      </c>
      <c r="D7" s="40">
        <f>SUM(D5:D6)</f>
        <v>102158</v>
      </c>
      <c r="E7" s="48"/>
    </row>
    <row r="8" spans="1:5" x14ac:dyDescent="0.25">
      <c r="A8" s="1" t="s">
        <v>4</v>
      </c>
      <c r="B8" s="4"/>
      <c r="C8" s="4"/>
      <c r="D8" s="4"/>
      <c r="E8" s="48"/>
    </row>
    <row r="9" spans="1:5" x14ac:dyDescent="0.25">
      <c r="A9" s="1" t="s">
        <v>5</v>
      </c>
      <c r="B9" s="4"/>
      <c r="C9" s="4"/>
      <c r="D9" s="4"/>
      <c r="E9" s="48"/>
    </row>
    <row r="10" spans="1:5" x14ac:dyDescent="0.25">
      <c r="A10" t="s">
        <v>38</v>
      </c>
      <c r="B10" s="4">
        <v>10000</v>
      </c>
      <c r="C10" s="4">
        <v>13000</v>
      </c>
      <c r="D10" s="4">
        <f>8000-450</f>
        <v>7550</v>
      </c>
      <c r="E10" s="48">
        <f>SUM(D10/12)</f>
        <v>629.16666666666663</v>
      </c>
    </row>
    <row r="11" spans="1:5" x14ac:dyDescent="0.25">
      <c r="A11" t="s">
        <v>6</v>
      </c>
      <c r="B11" s="4">
        <v>250</v>
      </c>
      <c r="C11" s="4">
        <v>0</v>
      </c>
      <c r="D11" s="4">
        <v>0</v>
      </c>
      <c r="E11" s="48">
        <f t="shared" ref="E11:E46" si="0">SUM(D11/12)</f>
        <v>0</v>
      </c>
    </row>
    <row r="12" spans="1:5" x14ac:dyDescent="0.25">
      <c r="A12" t="s">
        <v>7</v>
      </c>
      <c r="B12" s="4">
        <v>260</v>
      </c>
      <c r="C12" s="4">
        <v>260</v>
      </c>
      <c r="D12" s="4">
        <v>260</v>
      </c>
      <c r="E12" s="48">
        <f t="shared" si="0"/>
        <v>21.666666666666668</v>
      </c>
    </row>
    <row r="13" spans="1:5" x14ac:dyDescent="0.25">
      <c r="A13" s="44" t="s">
        <v>82</v>
      </c>
      <c r="B13" s="4">
        <v>3000</v>
      </c>
      <c r="C13" s="4">
        <v>1200</v>
      </c>
      <c r="D13" s="4">
        <v>1500</v>
      </c>
      <c r="E13" s="48">
        <f t="shared" si="0"/>
        <v>125</v>
      </c>
    </row>
    <row r="14" spans="1:5" x14ac:dyDescent="0.25">
      <c r="A14" s="44" t="s">
        <v>109</v>
      </c>
      <c r="B14" s="4">
        <v>0</v>
      </c>
      <c r="C14" s="4">
        <v>125</v>
      </c>
      <c r="D14" s="4">
        <v>125</v>
      </c>
      <c r="E14" s="48">
        <f t="shared" si="0"/>
        <v>10.416666666666666</v>
      </c>
    </row>
    <row r="15" spans="1:5" x14ac:dyDescent="0.25">
      <c r="A15" t="s">
        <v>8</v>
      </c>
      <c r="B15" s="4">
        <v>250</v>
      </c>
      <c r="C15" s="4">
        <v>250</v>
      </c>
      <c r="D15" s="4">
        <v>260</v>
      </c>
      <c r="E15" s="48">
        <f t="shared" si="0"/>
        <v>21.666666666666668</v>
      </c>
    </row>
    <row r="16" spans="1:5" x14ac:dyDescent="0.25">
      <c r="A16" t="s">
        <v>11</v>
      </c>
      <c r="B16" s="4">
        <v>200</v>
      </c>
      <c r="C16" s="4">
        <v>200</v>
      </c>
      <c r="D16" s="4">
        <v>200</v>
      </c>
      <c r="E16" s="48">
        <f t="shared" si="0"/>
        <v>16.666666666666668</v>
      </c>
    </row>
    <row r="17" spans="1:5" x14ac:dyDescent="0.25">
      <c r="A17" t="s">
        <v>31</v>
      </c>
      <c r="B17" s="4">
        <v>300</v>
      </c>
      <c r="C17" s="4">
        <v>275</v>
      </c>
      <c r="D17" s="4">
        <v>300</v>
      </c>
      <c r="E17" s="48">
        <f t="shared" si="0"/>
        <v>25</v>
      </c>
    </row>
    <row r="18" spans="1:5" ht="13.8" thickBot="1" x14ac:dyDescent="0.3">
      <c r="A18" t="s">
        <v>12</v>
      </c>
      <c r="B18" s="5">
        <v>170</v>
      </c>
      <c r="C18" s="5">
        <v>180</v>
      </c>
      <c r="D18" s="5">
        <v>190</v>
      </c>
      <c r="E18" s="48">
        <f t="shared" si="0"/>
        <v>15.833333333333334</v>
      </c>
    </row>
    <row r="19" spans="1:5" x14ac:dyDescent="0.25">
      <c r="A19" s="1" t="s">
        <v>13</v>
      </c>
      <c r="B19" s="6">
        <v>14430</v>
      </c>
      <c r="C19" s="6">
        <f>SUM(C10:C18)</f>
        <v>15490</v>
      </c>
      <c r="D19" s="6">
        <f>SUM(D10:D18)</f>
        <v>10385</v>
      </c>
      <c r="E19" s="48">
        <f t="shared" si="0"/>
        <v>865.41666666666663</v>
      </c>
    </row>
    <row r="20" spans="1:5" x14ac:dyDescent="0.25">
      <c r="B20" s="4"/>
      <c r="C20" s="4"/>
      <c r="D20" s="4"/>
      <c r="E20" s="48">
        <f t="shared" si="0"/>
        <v>0</v>
      </c>
    </row>
    <row r="21" spans="1:5" x14ac:dyDescent="0.25">
      <c r="A21" s="1" t="s">
        <v>14</v>
      </c>
      <c r="B21" s="4"/>
      <c r="C21" s="4"/>
      <c r="D21" s="4"/>
      <c r="E21" s="48">
        <f t="shared" si="0"/>
        <v>0</v>
      </c>
    </row>
    <row r="22" spans="1:5" x14ac:dyDescent="0.25">
      <c r="A22" t="s">
        <v>15</v>
      </c>
      <c r="B22" s="4">
        <v>13370</v>
      </c>
      <c r="C22" s="4">
        <v>15000</v>
      </c>
      <c r="D22" s="4">
        <v>15000</v>
      </c>
      <c r="E22" s="48">
        <f t="shared" si="0"/>
        <v>1250</v>
      </c>
    </row>
    <row r="23" spans="1:5" x14ac:dyDescent="0.25">
      <c r="A23" t="s">
        <v>16</v>
      </c>
      <c r="B23" s="4">
        <v>200</v>
      </c>
      <c r="C23" s="4">
        <v>300</v>
      </c>
      <c r="D23" s="4">
        <v>300</v>
      </c>
      <c r="E23" s="48">
        <f t="shared" si="0"/>
        <v>25</v>
      </c>
    </row>
    <row r="24" spans="1:5" x14ac:dyDescent="0.25">
      <c r="A24" t="s">
        <v>17</v>
      </c>
      <c r="B24" s="4">
        <v>2200</v>
      </c>
      <c r="C24" s="4">
        <v>2400</v>
      </c>
      <c r="D24" s="4">
        <v>2400</v>
      </c>
      <c r="E24" s="48">
        <f t="shared" si="0"/>
        <v>200</v>
      </c>
    </row>
    <row r="25" spans="1:5" x14ac:dyDescent="0.25">
      <c r="A25" t="s">
        <v>18</v>
      </c>
      <c r="B25" s="4">
        <v>3600</v>
      </c>
      <c r="C25" s="4">
        <v>3600</v>
      </c>
      <c r="D25" s="4">
        <f>300*12</f>
        <v>3600</v>
      </c>
      <c r="E25" s="48">
        <f t="shared" si="0"/>
        <v>300</v>
      </c>
    </row>
    <row r="26" spans="1:5" x14ac:dyDescent="0.25">
      <c r="A26" t="s">
        <v>19</v>
      </c>
      <c r="B26" s="4">
        <v>4200</v>
      </c>
      <c r="C26" s="4">
        <f>350*12</f>
        <v>4200</v>
      </c>
      <c r="D26" s="4">
        <v>4650</v>
      </c>
      <c r="E26" s="48">
        <f t="shared" si="0"/>
        <v>387.5</v>
      </c>
    </row>
    <row r="27" spans="1:5" ht="13.8" thickBot="1" x14ac:dyDescent="0.3">
      <c r="A27" t="s">
        <v>20</v>
      </c>
      <c r="B27" s="5">
        <v>2000</v>
      </c>
      <c r="C27" s="5">
        <v>1800</v>
      </c>
      <c r="D27" s="5">
        <v>2000</v>
      </c>
      <c r="E27" s="48">
        <f t="shared" si="0"/>
        <v>166.66666666666666</v>
      </c>
    </row>
    <row r="28" spans="1:5" x14ac:dyDescent="0.25">
      <c r="A28" s="1" t="s">
        <v>21</v>
      </c>
      <c r="B28" s="6">
        <v>25570</v>
      </c>
      <c r="C28" s="6">
        <f>SUM(C22:C27)</f>
        <v>27300</v>
      </c>
      <c r="D28" s="6">
        <f>SUM(D22:D27)</f>
        <v>27950</v>
      </c>
      <c r="E28" s="48">
        <f t="shared" si="0"/>
        <v>2329.1666666666665</v>
      </c>
    </row>
    <row r="29" spans="1:5" x14ac:dyDescent="0.25">
      <c r="B29" s="4"/>
      <c r="C29" s="4"/>
      <c r="D29" s="4"/>
      <c r="E29" s="48">
        <f t="shared" si="0"/>
        <v>0</v>
      </c>
    </row>
    <row r="30" spans="1:5" x14ac:dyDescent="0.25">
      <c r="A30" s="1" t="s">
        <v>22</v>
      </c>
      <c r="B30" s="6">
        <v>24058</v>
      </c>
      <c r="C30" s="6">
        <v>21000</v>
      </c>
      <c r="D30" s="6">
        <v>22023</v>
      </c>
      <c r="E30" s="48">
        <f t="shared" si="0"/>
        <v>1835.25</v>
      </c>
    </row>
    <row r="31" spans="1:5" x14ac:dyDescent="0.25">
      <c r="B31" s="4"/>
      <c r="C31" s="4"/>
      <c r="D31" s="4"/>
      <c r="E31" s="48">
        <f t="shared" si="0"/>
        <v>0</v>
      </c>
    </row>
    <row r="32" spans="1:5" x14ac:dyDescent="0.25">
      <c r="A32" s="1" t="s">
        <v>23</v>
      </c>
      <c r="B32" s="4"/>
      <c r="C32" s="4"/>
      <c r="D32" s="4"/>
      <c r="E32" s="48">
        <f t="shared" si="0"/>
        <v>0</v>
      </c>
    </row>
    <row r="33" spans="1:7" x14ac:dyDescent="0.25">
      <c r="A33" t="s">
        <v>26</v>
      </c>
      <c r="B33" s="4">
        <v>5000</v>
      </c>
      <c r="C33" s="4">
        <v>6500</v>
      </c>
      <c r="D33" s="4">
        <v>6500</v>
      </c>
      <c r="E33" s="48">
        <f t="shared" si="0"/>
        <v>541.66666666666663</v>
      </c>
    </row>
    <row r="34" spans="1:7" x14ac:dyDescent="0.25">
      <c r="A34" t="s">
        <v>27</v>
      </c>
      <c r="B34" s="4">
        <v>10500</v>
      </c>
      <c r="C34" s="4">
        <f>850*12</f>
        <v>10200</v>
      </c>
      <c r="D34" s="4">
        <v>10500</v>
      </c>
      <c r="E34" s="48">
        <f t="shared" si="0"/>
        <v>875</v>
      </c>
    </row>
    <row r="35" spans="1:7" x14ac:dyDescent="0.25">
      <c r="A35" t="s">
        <v>28</v>
      </c>
      <c r="B35" s="4">
        <v>1300</v>
      </c>
      <c r="C35" s="4">
        <v>2200</v>
      </c>
      <c r="D35" s="4">
        <v>1800</v>
      </c>
      <c r="E35" s="48">
        <f t="shared" si="0"/>
        <v>150</v>
      </c>
    </row>
    <row r="36" spans="1:7" x14ac:dyDescent="0.25">
      <c r="A36" s="44" t="s">
        <v>88</v>
      </c>
      <c r="B36" s="4">
        <v>300</v>
      </c>
      <c r="C36" s="4">
        <v>300</v>
      </c>
      <c r="D36" s="4">
        <v>300</v>
      </c>
      <c r="E36" s="48">
        <f t="shared" si="0"/>
        <v>25</v>
      </c>
    </row>
    <row r="37" spans="1:7" ht="13.8" thickBot="1" x14ac:dyDescent="0.3">
      <c r="A37" t="s">
        <v>29</v>
      </c>
      <c r="B37" s="5">
        <v>1700</v>
      </c>
      <c r="C37" s="5">
        <v>1000</v>
      </c>
      <c r="D37" s="5">
        <v>2000</v>
      </c>
      <c r="E37" s="48">
        <f t="shared" si="0"/>
        <v>166.66666666666666</v>
      </c>
    </row>
    <row r="38" spans="1:7" x14ac:dyDescent="0.25">
      <c r="A38" s="1" t="s">
        <v>30</v>
      </c>
      <c r="B38" s="6">
        <v>18800</v>
      </c>
      <c r="C38" s="6">
        <f>SUM(C33:C37)</f>
        <v>20200</v>
      </c>
      <c r="D38" s="6">
        <f>SUM(D33:D37)</f>
        <v>21100</v>
      </c>
      <c r="E38" s="48">
        <f t="shared" si="0"/>
        <v>1758.3333333333333</v>
      </c>
    </row>
    <row r="39" spans="1:7" x14ac:dyDescent="0.25">
      <c r="B39" s="4"/>
      <c r="C39" s="4"/>
      <c r="D39" s="4"/>
      <c r="E39" s="48">
        <f t="shared" si="0"/>
        <v>0</v>
      </c>
    </row>
    <row r="40" spans="1:7" x14ac:dyDescent="0.25">
      <c r="A40" s="1" t="s">
        <v>32</v>
      </c>
      <c r="B40" s="4"/>
      <c r="C40" s="4"/>
      <c r="D40" s="4"/>
      <c r="E40" s="48">
        <f t="shared" si="0"/>
        <v>0</v>
      </c>
    </row>
    <row r="41" spans="1:7" x14ac:dyDescent="0.25">
      <c r="A41" t="s">
        <v>33</v>
      </c>
      <c r="B41" s="4">
        <v>2800</v>
      </c>
      <c r="C41" s="4">
        <v>2600</v>
      </c>
      <c r="D41" s="4">
        <v>2700</v>
      </c>
      <c r="E41" s="48">
        <f t="shared" si="0"/>
        <v>225</v>
      </c>
    </row>
    <row r="42" spans="1:7" ht="13.8" thickBot="1" x14ac:dyDescent="0.3">
      <c r="A42" t="s">
        <v>34</v>
      </c>
      <c r="B42" s="5">
        <v>16500</v>
      </c>
      <c r="C42" s="5">
        <v>18000</v>
      </c>
      <c r="D42" s="5">
        <v>18000</v>
      </c>
      <c r="E42" s="48">
        <f t="shared" si="0"/>
        <v>1500</v>
      </c>
    </row>
    <row r="43" spans="1:7" x14ac:dyDescent="0.25">
      <c r="A43" s="1" t="s">
        <v>35</v>
      </c>
      <c r="B43" s="6">
        <v>19300</v>
      </c>
      <c r="C43" s="6">
        <f>SUM(C41:C42)</f>
        <v>20600</v>
      </c>
      <c r="D43" s="6">
        <f>SUM(D41:D42)</f>
        <v>20700</v>
      </c>
      <c r="E43" s="48">
        <f t="shared" si="0"/>
        <v>1725</v>
      </c>
    </row>
    <row r="44" spans="1:7" x14ac:dyDescent="0.25">
      <c r="B44" s="4"/>
      <c r="C44" s="4"/>
      <c r="D44" s="4"/>
      <c r="E44" s="48">
        <f t="shared" si="0"/>
        <v>0</v>
      </c>
    </row>
    <row r="45" spans="1:7" x14ac:dyDescent="0.25">
      <c r="A45" s="1" t="s">
        <v>69</v>
      </c>
      <c r="B45" s="6">
        <v>11768.598695004146</v>
      </c>
      <c r="C45" s="6">
        <v>17767</v>
      </c>
      <c r="D45" s="6">
        <v>11768.598695004146</v>
      </c>
      <c r="E45" s="48">
        <f t="shared" si="0"/>
        <v>980.71655791701221</v>
      </c>
    </row>
    <row r="46" spans="1:7" ht="13.8" thickBot="1" x14ac:dyDescent="0.3">
      <c r="A46" s="1" t="s">
        <v>70</v>
      </c>
      <c r="B46" s="5">
        <v>23088</v>
      </c>
      <c r="C46" s="5"/>
      <c r="D46" s="36">
        <v>23088</v>
      </c>
      <c r="E46" s="48">
        <f t="shared" si="0"/>
        <v>1924</v>
      </c>
      <c r="G46" s="6"/>
    </row>
    <row r="47" spans="1:7" x14ac:dyDescent="0.25">
      <c r="A47" s="1" t="s">
        <v>83</v>
      </c>
      <c r="B47" s="35">
        <v>102158</v>
      </c>
      <c r="C47" s="35">
        <f>SUM(C43+C38+C30+C28+C19)</f>
        <v>104590</v>
      </c>
      <c r="D47" s="35">
        <f>D43+D38+D30+D28+D19</f>
        <v>102158</v>
      </c>
      <c r="E47" s="47"/>
    </row>
    <row r="48" spans="1:7" ht="13.8" thickBot="1" x14ac:dyDescent="0.3"/>
    <row r="49" spans="1:5" ht="16.2" thickBot="1" x14ac:dyDescent="0.35">
      <c r="A49" s="163" t="s">
        <v>1</v>
      </c>
      <c r="B49" s="164"/>
      <c r="C49" s="164"/>
      <c r="D49" s="164"/>
      <c r="E49" s="165"/>
    </row>
    <row r="50" spans="1:5" ht="64.5" customHeight="1" x14ac:dyDescent="0.3">
      <c r="A50" s="22" t="s">
        <v>56</v>
      </c>
      <c r="B50" s="23" t="s">
        <v>57</v>
      </c>
      <c r="C50" s="24" t="s">
        <v>112</v>
      </c>
      <c r="D50" s="24" t="s">
        <v>113</v>
      </c>
      <c r="E50" s="25" t="s">
        <v>68</v>
      </c>
    </row>
    <row r="51" spans="1:5" ht="15.6" x14ac:dyDescent="0.3">
      <c r="A51" s="30" t="s">
        <v>101</v>
      </c>
      <c r="B51" s="27">
        <v>3.49E-2</v>
      </c>
      <c r="C51" s="59">
        <f>(101958*0.0349)/12</f>
        <v>296.52785</v>
      </c>
      <c r="D51" s="28">
        <v>329.66153372572597</v>
      </c>
      <c r="E51" s="29">
        <v>386.07834655601619</v>
      </c>
    </row>
    <row r="52" spans="1:5" ht="60.6" x14ac:dyDescent="0.3">
      <c r="A52" s="30" t="s">
        <v>102</v>
      </c>
      <c r="B52" s="27">
        <v>3.8600000000000002E-2</v>
      </c>
      <c r="C52" s="59">
        <f>(101958*0.0386)/12</f>
        <v>327.9649</v>
      </c>
      <c r="D52" s="28">
        <v>361.09858372572597</v>
      </c>
      <c r="E52" s="29">
        <v>417.51539655601619</v>
      </c>
    </row>
    <row r="53" spans="1:5" ht="15.6" x14ac:dyDescent="0.3">
      <c r="A53" s="30" t="s">
        <v>103</v>
      </c>
      <c r="B53" s="27">
        <v>4.1399999999999999E-2</v>
      </c>
      <c r="C53" s="59">
        <f>(101958*0.0414)/12</f>
        <v>351.75510000000003</v>
      </c>
      <c r="D53" s="28">
        <v>384.888783725726</v>
      </c>
      <c r="E53" s="29">
        <v>441.30559655601621</v>
      </c>
    </row>
  </sheetData>
  <mergeCells count="2">
    <mergeCell ref="A1:D1"/>
    <mergeCell ref="A49:E49"/>
  </mergeCells>
  <pageMargins left="0.25" right="0.28999999999999998" top="1" bottom="1" header="0.5" footer="0.5"/>
  <pageSetup scale="60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N38"/>
  <sheetViews>
    <sheetView topLeftCell="B10" workbookViewId="0">
      <selection activeCell="G6" sqref="G6:G14"/>
    </sheetView>
  </sheetViews>
  <sheetFormatPr defaultColWidth="8.77734375" defaultRowHeight="13.2" x14ac:dyDescent="0.25"/>
  <cols>
    <col min="1" max="1" width="24.44140625" customWidth="1"/>
    <col min="2" max="3" width="20.77734375" customWidth="1"/>
    <col min="4" max="4" width="19.21875" customWidth="1"/>
    <col min="5" max="5" width="23.44140625" customWidth="1"/>
    <col min="6" max="6" width="18.77734375" customWidth="1"/>
    <col min="8" max="8" width="20.21875" bestFit="1" customWidth="1"/>
    <col min="9" max="9" width="15.44140625" hidden="1" customWidth="1"/>
    <col min="10" max="10" width="20.21875" style="3" bestFit="1" customWidth="1"/>
    <col min="14" max="14" width="10.44140625" bestFit="1" customWidth="1"/>
  </cols>
  <sheetData>
    <row r="1" spans="1:10" ht="13.8" thickBot="1" x14ac:dyDescent="0.3"/>
    <row r="2" spans="1:10" ht="16.2" thickBot="1" x14ac:dyDescent="0.35">
      <c r="A2" s="173" t="s">
        <v>110</v>
      </c>
      <c r="B2" s="174"/>
      <c r="C2" s="174"/>
      <c r="D2" s="174"/>
      <c r="E2" s="174"/>
      <c r="F2" s="174"/>
      <c r="G2" s="174"/>
      <c r="H2" s="174"/>
      <c r="I2" s="174"/>
      <c r="J2" s="175"/>
    </row>
    <row r="3" spans="1:10" x14ac:dyDescent="0.25">
      <c r="A3" s="7" t="s">
        <v>44</v>
      </c>
      <c r="B3" s="8" t="s">
        <v>45</v>
      </c>
      <c r="C3" s="8"/>
      <c r="D3" s="8" t="s">
        <v>45</v>
      </c>
      <c r="E3" s="9" t="s">
        <v>46</v>
      </c>
      <c r="F3" s="8" t="s">
        <v>47</v>
      </c>
      <c r="G3" s="8" t="s">
        <v>48</v>
      </c>
      <c r="H3" s="33">
        <v>1</v>
      </c>
      <c r="I3" s="49">
        <v>0.7</v>
      </c>
      <c r="J3" s="56">
        <v>0.4</v>
      </c>
    </row>
    <row r="4" spans="1:10" x14ac:dyDescent="0.25">
      <c r="A4" s="10"/>
      <c r="B4" s="11" t="s">
        <v>49</v>
      </c>
      <c r="C4" s="11"/>
      <c r="D4" s="11" t="s">
        <v>50</v>
      </c>
      <c r="E4" s="12" t="s">
        <v>51</v>
      </c>
      <c r="F4" s="11" t="s">
        <v>95</v>
      </c>
      <c r="G4" s="11" t="s">
        <v>52</v>
      </c>
      <c r="H4" s="11" t="s">
        <v>111</v>
      </c>
      <c r="I4" s="50" t="s">
        <v>80</v>
      </c>
      <c r="J4" s="13" t="s">
        <v>111</v>
      </c>
    </row>
    <row r="5" spans="1:10" x14ac:dyDescent="0.25">
      <c r="A5" s="10"/>
      <c r="B5" s="11"/>
      <c r="C5" s="11"/>
      <c r="D5" s="11"/>
      <c r="E5" s="12"/>
      <c r="F5" s="11"/>
      <c r="G5" s="11"/>
      <c r="H5" s="11"/>
      <c r="I5" s="50"/>
      <c r="J5" s="53"/>
    </row>
    <row r="6" spans="1:10" x14ac:dyDescent="0.25">
      <c r="A6" s="10" t="s">
        <v>59</v>
      </c>
      <c r="B6" s="11">
        <v>9</v>
      </c>
      <c r="C6" s="11"/>
      <c r="D6" s="15">
        <v>27069</v>
      </c>
      <c r="E6" s="12">
        <v>0.22</v>
      </c>
      <c r="F6" s="32">
        <f>F15*0.22</f>
        <v>22927.0756</v>
      </c>
      <c r="G6" s="14">
        <v>2</v>
      </c>
      <c r="H6" s="15">
        <f>(D6-F6)/G6</f>
        <v>2070.9621999999999</v>
      </c>
      <c r="I6" s="51">
        <f t="shared" ref="I6:I11" si="0">H6*0.7</f>
        <v>1449.6735399999998</v>
      </c>
      <c r="J6" s="54">
        <f>SUM(H6*0.4)</f>
        <v>828.38488000000007</v>
      </c>
    </row>
    <row r="7" spans="1:10" x14ac:dyDescent="0.25">
      <c r="A7" s="10" t="s">
        <v>60</v>
      </c>
      <c r="B7" s="11">
        <v>12</v>
      </c>
      <c r="C7" s="11"/>
      <c r="D7" s="15">
        <v>10000</v>
      </c>
      <c r="E7" s="12">
        <v>0.03</v>
      </c>
      <c r="F7" s="32">
        <f>F15*E7</f>
        <v>3126.4193999999998</v>
      </c>
      <c r="G7" s="14">
        <v>2</v>
      </c>
      <c r="H7" s="15">
        <f t="shared" ref="H7:H13" si="1">(D7-F7)/G7</f>
        <v>3436.7903000000001</v>
      </c>
      <c r="I7" s="51">
        <f t="shared" si="0"/>
        <v>2405.7532099999999</v>
      </c>
      <c r="J7" s="54">
        <f>SUM(H7*0.4)</f>
        <v>1374.71612</v>
      </c>
    </row>
    <row r="8" spans="1:10" x14ac:dyDescent="0.25">
      <c r="A8" s="10" t="s">
        <v>53</v>
      </c>
      <c r="B8" s="11">
        <v>8</v>
      </c>
      <c r="C8" s="11"/>
      <c r="D8" s="15">
        <v>21156</v>
      </c>
      <c r="E8" s="12">
        <v>0.17</v>
      </c>
      <c r="F8" s="32">
        <f>(F15*E8)-1800</f>
        <v>15916.3766</v>
      </c>
      <c r="G8" s="14">
        <v>3</v>
      </c>
      <c r="H8" s="15">
        <f t="shared" si="1"/>
        <v>1746.5411333333334</v>
      </c>
      <c r="I8" s="51">
        <f t="shared" si="0"/>
        <v>1222.5787933333334</v>
      </c>
      <c r="J8" s="54">
        <f>SUM(H8*0.4)</f>
        <v>698.61645333333342</v>
      </c>
    </row>
    <row r="9" spans="1:10" x14ac:dyDescent="0.25">
      <c r="A9" s="10" t="s">
        <v>61</v>
      </c>
      <c r="B9" s="11">
        <v>1</v>
      </c>
      <c r="C9" s="11"/>
      <c r="D9" s="15">
        <v>1855</v>
      </c>
      <c r="E9" s="12">
        <v>0</v>
      </c>
      <c r="F9" s="32">
        <v>1855</v>
      </c>
      <c r="G9" s="14">
        <v>1</v>
      </c>
      <c r="H9" s="15">
        <f t="shared" si="1"/>
        <v>0</v>
      </c>
      <c r="I9" s="51">
        <f t="shared" si="0"/>
        <v>0</v>
      </c>
      <c r="J9" s="54">
        <f>SUM(H9*0.5)</f>
        <v>0</v>
      </c>
    </row>
    <row r="10" spans="1:10" x14ac:dyDescent="0.25">
      <c r="A10" s="10" t="s">
        <v>62</v>
      </c>
      <c r="B10" s="11">
        <v>20</v>
      </c>
      <c r="C10" s="11"/>
      <c r="D10" s="15">
        <v>14000</v>
      </c>
      <c r="E10" s="12">
        <f>7431/97701</f>
        <v>7.6058586913132928E-2</v>
      </c>
      <c r="F10" s="32">
        <f>F15*E10</f>
        <v>7926.3680553934964</v>
      </c>
      <c r="G10" s="14">
        <v>8</v>
      </c>
      <c r="H10" s="15">
        <f t="shared" si="1"/>
        <v>759.20399307581295</v>
      </c>
      <c r="I10" s="51">
        <f t="shared" si="0"/>
        <v>531.44279515306903</v>
      </c>
      <c r="J10" s="54">
        <f>SUM(H10*0.4)</f>
        <v>303.68159723032517</v>
      </c>
    </row>
    <row r="11" spans="1:10" x14ac:dyDescent="0.25">
      <c r="A11" s="10" t="s">
        <v>63</v>
      </c>
      <c r="B11" s="11">
        <v>1</v>
      </c>
      <c r="C11" s="11"/>
      <c r="D11" s="15">
        <v>3060</v>
      </c>
      <c r="E11" s="12">
        <v>0</v>
      </c>
      <c r="F11" s="32">
        <v>3060</v>
      </c>
      <c r="G11" s="14">
        <v>1</v>
      </c>
      <c r="H11" s="15">
        <f t="shared" si="1"/>
        <v>0</v>
      </c>
      <c r="I11" s="51">
        <f t="shared" si="0"/>
        <v>0</v>
      </c>
      <c r="J11" s="54">
        <f>SUM(H11*0.5)</f>
        <v>0</v>
      </c>
    </row>
    <row r="12" spans="1:10" x14ac:dyDescent="0.25">
      <c r="A12" s="10" t="s">
        <v>64</v>
      </c>
      <c r="B12" s="11">
        <v>5</v>
      </c>
      <c r="C12" s="11"/>
      <c r="D12" s="15">
        <v>20000</v>
      </c>
      <c r="E12" s="12">
        <v>0.13</v>
      </c>
      <c r="F12" s="32">
        <f>F15*E12</f>
        <v>13547.8174</v>
      </c>
      <c r="G12" s="14">
        <v>5</v>
      </c>
      <c r="H12" s="15">
        <f t="shared" si="1"/>
        <v>1290.43652</v>
      </c>
      <c r="I12" s="51">
        <f>H12*0.8</f>
        <v>1032.3492160000001</v>
      </c>
      <c r="J12" s="54">
        <f>SUM(H12*0.4)</f>
        <v>516.17460800000003</v>
      </c>
    </row>
    <row r="13" spans="1:10" x14ac:dyDescent="0.25">
      <c r="A13" s="10" t="s">
        <v>54</v>
      </c>
      <c r="B13" s="11">
        <v>20</v>
      </c>
      <c r="C13" s="11"/>
      <c r="D13" s="15">
        <v>300000</v>
      </c>
      <c r="E13" s="12">
        <f>36655/97701</f>
        <v>0.37517527967983949</v>
      </c>
      <c r="F13" s="32">
        <f>F15*E13</f>
        <v>39098.509093049201</v>
      </c>
      <c r="G13" s="14">
        <v>14</v>
      </c>
      <c r="H13" s="15">
        <f t="shared" si="1"/>
        <v>18635.820779067912</v>
      </c>
      <c r="I13" s="51">
        <f>H13*0.7</f>
        <v>13045.074545347537</v>
      </c>
      <c r="J13" s="54">
        <f>SUM(H13*0.4)</f>
        <v>7454.328311627165</v>
      </c>
    </row>
    <row r="14" spans="1:10" x14ac:dyDescent="0.25">
      <c r="A14" s="10" t="s">
        <v>65</v>
      </c>
      <c r="B14" s="11">
        <v>5</v>
      </c>
      <c r="C14" s="11"/>
      <c r="D14" s="15">
        <v>1411</v>
      </c>
      <c r="E14" s="12">
        <v>0</v>
      </c>
      <c r="F14" s="32">
        <v>1411</v>
      </c>
      <c r="G14" s="14">
        <v>5</v>
      </c>
      <c r="H14" s="15">
        <f>(D14-F14)/G14</f>
        <v>0</v>
      </c>
      <c r="I14" s="51">
        <f>H14*0.7</f>
        <v>0</v>
      </c>
      <c r="J14" s="54">
        <f>SUM(H14*0.4)</f>
        <v>0</v>
      </c>
    </row>
    <row r="15" spans="1:10" ht="13.8" thickBot="1" x14ac:dyDescent="0.3">
      <c r="A15" s="17" t="s">
        <v>55</v>
      </c>
      <c r="B15" s="18"/>
      <c r="C15" s="18"/>
      <c r="D15" s="19">
        <f>SUM(D6:D14)</f>
        <v>398551</v>
      </c>
      <c r="E15" s="20">
        <f>SUM(E6:E14)</f>
        <v>1.0012338665929725</v>
      </c>
      <c r="F15" s="19">
        <f>99625.37+4588.61</f>
        <v>104213.98</v>
      </c>
      <c r="G15" s="19"/>
      <c r="H15" s="19">
        <f>SUM(H6:H14)</f>
        <v>27939.754925477057</v>
      </c>
      <c r="I15" s="52">
        <f>SUM(I6:I14)</f>
        <v>19686.872099833941</v>
      </c>
      <c r="J15" s="55">
        <f>SUM(H15*0.37)</f>
        <v>10337.70932242651</v>
      </c>
    </row>
    <row r="17" spans="1:14" ht="13.8" thickBot="1" x14ac:dyDescent="0.3"/>
    <row r="18" spans="1:14" ht="16.2" thickBot="1" x14ac:dyDescent="0.35">
      <c r="A18" s="163" t="s">
        <v>1</v>
      </c>
      <c r="B18" s="164"/>
      <c r="C18" s="164"/>
      <c r="D18" s="164"/>
      <c r="E18" s="165"/>
      <c r="F18" s="57"/>
      <c r="H18" s="31"/>
      <c r="J18" s="4">
        <f>J15/12</f>
        <v>861.47577686887587</v>
      </c>
    </row>
    <row r="19" spans="1:14" ht="62.4" x14ac:dyDescent="0.3">
      <c r="A19" s="22" t="s">
        <v>56</v>
      </c>
      <c r="B19" s="23" t="s">
        <v>57</v>
      </c>
      <c r="C19" s="24" t="s">
        <v>112</v>
      </c>
      <c r="D19" s="24" t="s">
        <v>113</v>
      </c>
      <c r="E19" s="25" t="s">
        <v>68</v>
      </c>
      <c r="G19" s="31"/>
      <c r="I19" s="3"/>
      <c r="J19">
        <f>861.48*3</f>
        <v>2584.44</v>
      </c>
    </row>
    <row r="20" spans="1:14" ht="18.75" customHeight="1" x14ac:dyDescent="0.3">
      <c r="A20" s="30" t="s">
        <v>101</v>
      </c>
      <c r="B20" s="27">
        <v>3.49E-2</v>
      </c>
      <c r="C20" s="59">
        <f>(101958*0.0349)/12</f>
        <v>296.52785</v>
      </c>
      <c r="D20" s="28">
        <f>(J15/12/26)+E36</f>
        <v>329.66153372572597</v>
      </c>
      <c r="E20" s="29">
        <f>(H15/26/12)+E36</f>
        <v>386.07834655601619</v>
      </c>
      <c r="I20" s="3"/>
      <c r="J20"/>
    </row>
    <row r="21" spans="1:14" ht="75.599999999999994" x14ac:dyDescent="0.3">
      <c r="A21" s="30" t="s">
        <v>102</v>
      </c>
      <c r="B21" s="27">
        <v>3.8600000000000002E-2</v>
      </c>
      <c r="C21" s="59">
        <f>(101958*0.0386)/12</f>
        <v>327.9649</v>
      </c>
      <c r="D21" s="28">
        <f>(J15/12/26)+E37</f>
        <v>361.09858372572597</v>
      </c>
      <c r="E21" s="29">
        <f>(H15/26/12)+E37</f>
        <v>417.51539655601619</v>
      </c>
      <c r="I21" s="3"/>
      <c r="J21"/>
    </row>
    <row r="22" spans="1:14" ht="28.5" customHeight="1" x14ac:dyDescent="0.3">
      <c r="A22" s="30" t="s">
        <v>103</v>
      </c>
      <c r="B22" s="27">
        <v>4.1399999999999999E-2</v>
      </c>
      <c r="C22" s="59">
        <f>(101958*0.0414)/12</f>
        <v>351.75510000000003</v>
      </c>
      <c r="D22" s="28">
        <f>(J15/12/26)+E38</f>
        <v>384.888783725726</v>
      </c>
      <c r="E22" s="29">
        <f>(H15/26/12)+E38</f>
        <v>441.30559655601621</v>
      </c>
      <c r="I22" s="3"/>
      <c r="J22"/>
    </row>
    <row r="25" spans="1:14" x14ac:dyDescent="0.25">
      <c r="A25" s="191" t="s">
        <v>42</v>
      </c>
      <c r="B25" s="191"/>
      <c r="C25" s="191"/>
      <c r="D25" s="191"/>
      <c r="E25" s="191"/>
      <c r="F25" s="191"/>
      <c r="G25" s="191"/>
      <c r="H25" s="191"/>
      <c r="I25" s="191"/>
    </row>
    <row r="26" spans="1:14" x14ac:dyDescent="0.25">
      <c r="A26" s="191"/>
      <c r="B26" s="191"/>
      <c r="C26" s="191"/>
      <c r="D26" s="191"/>
      <c r="E26" s="191"/>
      <c r="F26" s="191"/>
      <c r="G26" s="191"/>
      <c r="H26" s="191"/>
      <c r="I26" s="191"/>
      <c r="N26" s="31">
        <f>SUM(J15/12)</f>
        <v>861.47577686887587</v>
      </c>
    </row>
    <row r="27" spans="1:14" x14ac:dyDescent="0.25">
      <c r="N27" s="31">
        <f>N26*7</f>
        <v>6030.330438082131</v>
      </c>
    </row>
    <row r="28" spans="1:14" x14ac:dyDescent="0.25">
      <c r="A28" s="4"/>
      <c r="B28" s="44"/>
      <c r="C28" s="44"/>
      <c r="E28" s="31"/>
    </row>
    <row r="29" spans="1:14" x14ac:dyDescent="0.25">
      <c r="A29" s="4"/>
      <c r="B29" s="44"/>
      <c r="C29" s="44"/>
    </row>
    <row r="30" spans="1:14" x14ac:dyDescent="0.25">
      <c r="A30" s="4"/>
      <c r="B30" s="44"/>
      <c r="C30" s="44"/>
    </row>
    <row r="35" spans="5:5" ht="31.2" x14ac:dyDescent="0.3">
      <c r="E35" s="24" t="s">
        <v>58</v>
      </c>
    </row>
    <row r="36" spans="5:5" x14ac:dyDescent="0.25">
      <c r="E36" s="45">
        <f>(101958*0.0349)/12</f>
        <v>296.52785</v>
      </c>
    </row>
    <row r="37" spans="5:5" x14ac:dyDescent="0.25">
      <c r="E37" s="45">
        <f>(101958*0.0386)/12</f>
        <v>327.9649</v>
      </c>
    </row>
    <row r="38" spans="5:5" x14ac:dyDescent="0.25">
      <c r="E38" s="45">
        <f>(101958*0.0414)/12</f>
        <v>351.75510000000003</v>
      </c>
    </row>
  </sheetData>
  <mergeCells count="3">
    <mergeCell ref="A2:J2"/>
    <mergeCell ref="A18:E18"/>
    <mergeCell ref="A25:I26"/>
  </mergeCells>
  <pageMargins left="0.75" right="0.2" top="1" bottom="1" header="0.5" footer="0.5"/>
  <pageSetup scale="71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G52"/>
  <sheetViews>
    <sheetView view="pageBreakPreview" topLeftCell="A10" zoomScale="60" workbookViewId="0">
      <selection sqref="A1:IV65536"/>
    </sheetView>
  </sheetViews>
  <sheetFormatPr defaultColWidth="8.77734375" defaultRowHeight="15" x14ac:dyDescent="0.25"/>
  <cols>
    <col min="1" max="1" width="56.21875" style="62" bestFit="1" customWidth="1"/>
    <col min="2" max="2" width="25.44140625" style="77" bestFit="1" customWidth="1"/>
    <col min="3" max="3" width="43.5546875" style="77" bestFit="1" customWidth="1"/>
    <col min="4" max="4" width="25.44140625" style="77" bestFit="1" customWidth="1"/>
    <col min="5" max="5" width="14.44140625" style="62" bestFit="1" customWidth="1"/>
    <col min="6" max="6" width="8.77734375" style="62"/>
    <col min="7" max="7" width="9.44140625" style="62" bestFit="1" customWidth="1"/>
    <col min="8" max="16384" width="8.77734375" style="62"/>
  </cols>
  <sheetData>
    <row r="1" spans="1:5" ht="42.75" customHeight="1" x14ac:dyDescent="0.3">
      <c r="A1" s="192" t="s">
        <v>117</v>
      </c>
      <c r="B1" s="193"/>
      <c r="C1" s="193"/>
      <c r="D1" s="193"/>
    </row>
    <row r="3" spans="1:5" ht="15.6" x14ac:dyDescent="0.3">
      <c r="B3" s="61" t="s">
        <v>107</v>
      </c>
      <c r="C3" s="61" t="s">
        <v>37</v>
      </c>
      <c r="D3" s="61" t="s">
        <v>72</v>
      </c>
      <c r="E3" s="60"/>
    </row>
    <row r="4" spans="1:5" ht="15.6" x14ac:dyDescent="0.3">
      <c r="A4" s="57" t="s">
        <v>0</v>
      </c>
      <c r="B4" s="61">
        <v>2013</v>
      </c>
      <c r="C4" s="61">
        <v>2013</v>
      </c>
      <c r="D4" s="61">
        <v>2014</v>
      </c>
      <c r="E4" s="63"/>
    </row>
    <row r="5" spans="1:5" x14ac:dyDescent="0.25">
      <c r="A5" s="62" t="s">
        <v>1</v>
      </c>
      <c r="B5" s="64">
        <v>101958</v>
      </c>
      <c r="C5" s="64">
        <v>110000</v>
      </c>
      <c r="D5" s="64">
        <f>SUM(E52)</f>
        <v>95033.000000000015</v>
      </c>
      <c r="E5" s="65"/>
    </row>
    <row r="6" spans="1:5" ht="15.6" thickBot="1" x14ac:dyDescent="0.3">
      <c r="A6" s="62" t="s">
        <v>2</v>
      </c>
      <c r="B6" s="66">
        <v>200</v>
      </c>
      <c r="C6" s="66">
        <v>600</v>
      </c>
      <c r="D6" s="66">
        <v>300</v>
      </c>
      <c r="E6" s="65"/>
    </row>
    <row r="7" spans="1:5" ht="16.2" thickTop="1" x14ac:dyDescent="0.3">
      <c r="A7" s="67" t="s">
        <v>108</v>
      </c>
      <c r="B7" s="68">
        <v>102158</v>
      </c>
      <c r="C7" s="68">
        <f>SUM(C5:C6)</f>
        <v>110600</v>
      </c>
      <c r="D7" s="69">
        <f>SUM(D5:D6)</f>
        <v>95333.000000000015</v>
      </c>
      <c r="E7" s="65"/>
    </row>
    <row r="8" spans="1:5" ht="15.6" x14ac:dyDescent="0.3">
      <c r="A8" s="57" t="s">
        <v>4</v>
      </c>
      <c r="B8" s="64"/>
      <c r="C8" s="64"/>
      <c r="D8" s="64"/>
      <c r="E8" s="65"/>
    </row>
    <row r="9" spans="1:5" ht="15.6" x14ac:dyDescent="0.3">
      <c r="A9" s="57" t="s">
        <v>5</v>
      </c>
      <c r="B9" s="64"/>
      <c r="C9" s="64"/>
      <c r="D9" s="64"/>
      <c r="E9" s="65"/>
    </row>
    <row r="10" spans="1:5" x14ac:dyDescent="0.25">
      <c r="A10" s="62" t="s">
        <v>38</v>
      </c>
      <c r="B10" s="64">
        <v>10000</v>
      </c>
      <c r="C10" s="64">
        <v>4000</v>
      </c>
      <c r="D10" s="64">
        <v>3000</v>
      </c>
      <c r="E10" s="65"/>
    </row>
    <row r="11" spans="1:5" x14ac:dyDescent="0.25">
      <c r="A11" s="62" t="s">
        <v>7</v>
      </c>
      <c r="B11" s="64">
        <v>260</v>
      </c>
      <c r="C11" s="64">
        <v>200</v>
      </c>
      <c r="D11" s="64">
        <v>260</v>
      </c>
      <c r="E11" s="65"/>
    </row>
    <row r="12" spans="1:5" x14ac:dyDescent="0.25">
      <c r="A12" s="62" t="s">
        <v>82</v>
      </c>
      <c r="B12" s="64">
        <v>3000</v>
      </c>
      <c r="C12" s="64">
        <v>3000</v>
      </c>
      <c r="D12" s="64">
        <v>2000</v>
      </c>
      <c r="E12" s="65"/>
    </row>
    <row r="13" spans="1:5" x14ac:dyDescent="0.25">
      <c r="A13" s="62" t="s">
        <v>109</v>
      </c>
      <c r="B13" s="64">
        <v>0</v>
      </c>
      <c r="C13" s="64">
        <v>125</v>
      </c>
      <c r="D13" s="64">
        <v>0</v>
      </c>
      <c r="E13" s="65"/>
    </row>
    <row r="14" spans="1:5" x14ac:dyDescent="0.25">
      <c r="A14" s="62" t="s">
        <v>8</v>
      </c>
      <c r="B14" s="64">
        <v>250</v>
      </c>
      <c r="C14" s="64">
        <v>220</v>
      </c>
      <c r="D14" s="64">
        <v>250</v>
      </c>
      <c r="E14" s="65"/>
    </row>
    <row r="15" spans="1:5" x14ac:dyDescent="0.25">
      <c r="A15" s="62" t="s">
        <v>11</v>
      </c>
      <c r="B15" s="64">
        <v>200</v>
      </c>
      <c r="C15" s="64">
        <v>150</v>
      </c>
      <c r="D15" s="64">
        <v>180</v>
      </c>
      <c r="E15" s="65"/>
    </row>
    <row r="16" spans="1:5" x14ac:dyDescent="0.25">
      <c r="A16" s="62" t="s">
        <v>31</v>
      </c>
      <c r="B16" s="64">
        <v>300</v>
      </c>
      <c r="C16" s="64">
        <v>260</v>
      </c>
      <c r="D16" s="64">
        <v>280</v>
      </c>
      <c r="E16" s="65"/>
    </row>
    <row r="17" spans="1:5" ht="15.6" thickBot="1" x14ac:dyDescent="0.3">
      <c r="A17" s="62" t="s">
        <v>12</v>
      </c>
      <c r="B17" s="70">
        <v>170</v>
      </c>
      <c r="C17" s="70">
        <v>150</v>
      </c>
      <c r="D17" s="70">
        <v>190</v>
      </c>
      <c r="E17" s="65"/>
    </row>
    <row r="18" spans="1:5" ht="15.6" x14ac:dyDescent="0.3">
      <c r="A18" s="57" t="s">
        <v>13</v>
      </c>
      <c r="B18" s="71">
        <v>14430</v>
      </c>
      <c r="C18" s="71">
        <f>SUM(C10:C17)</f>
        <v>8105</v>
      </c>
      <c r="D18" s="71">
        <f>SUM(D10:D17)</f>
        <v>6160</v>
      </c>
      <c r="E18" s="65"/>
    </row>
    <row r="19" spans="1:5" x14ac:dyDescent="0.25">
      <c r="B19" s="64"/>
      <c r="C19" s="64"/>
      <c r="D19" s="64"/>
      <c r="E19" s="65"/>
    </row>
    <row r="20" spans="1:5" ht="15.6" x14ac:dyDescent="0.3">
      <c r="A20" s="57" t="s">
        <v>14</v>
      </c>
      <c r="B20" s="64"/>
      <c r="C20" s="64"/>
      <c r="D20" s="64"/>
      <c r="E20" s="65"/>
    </row>
    <row r="21" spans="1:5" x14ac:dyDescent="0.25">
      <c r="A21" s="62" t="s">
        <v>15</v>
      </c>
      <c r="B21" s="64">
        <v>13370</v>
      </c>
      <c r="C21" s="64">
        <f>1100*12</f>
        <v>13200</v>
      </c>
      <c r="D21" s="64">
        <v>14000</v>
      </c>
      <c r="E21" s="65"/>
    </row>
    <row r="22" spans="1:5" x14ac:dyDescent="0.25">
      <c r="A22" s="62" t="s">
        <v>16</v>
      </c>
      <c r="B22" s="64">
        <v>200</v>
      </c>
      <c r="C22" s="64">
        <v>300</v>
      </c>
      <c r="D22" s="64">
        <v>300</v>
      </c>
      <c r="E22" s="65"/>
    </row>
    <row r="23" spans="1:5" x14ac:dyDescent="0.25">
      <c r="A23" s="62" t="s">
        <v>17</v>
      </c>
      <c r="B23" s="64">
        <v>2200</v>
      </c>
      <c r="C23" s="64">
        <v>2500</v>
      </c>
      <c r="D23" s="64">
        <v>2500</v>
      </c>
      <c r="E23" s="65"/>
    </row>
    <row r="24" spans="1:5" x14ac:dyDescent="0.25">
      <c r="A24" s="62" t="s">
        <v>18</v>
      </c>
      <c r="B24" s="64">
        <v>3600</v>
      </c>
      <c r="C24" s="64">
        <v>3600</v>
      </c>
      <c r="D24" s="64">
        <f>300*12</f>
        <v>3600</v>
      </c>
      <c r="E24" s="65"/>
    </row>
    <row r="25" spans="1:5" x14ac:dyDescent="0.25">
      <c r="A25" s="62" t="s">
        <v>19</v>
      </c>
      <c r="B25" s="64">
        <v>4200</v>
      </c>
      <c r="C25" s="64">
        <v>5300</v>
      </c>
      <c r="D25" s="64">
        <v>4800</v>
      </c>
      <c r="E25" s="65"/>
    </row>
    <row r="26" spans="1:5" ht="15.6" thickBot="1" x14ac:dyDescent="0.3">
      <c r="A26" s="62" t="s">
        <v>20</v>
      </c>
      <c r="B26" s="70">
        <v>2000</v>
      </c>
      <c r="C26" s="70">
        <v>1600</v>
      </c>
      <c r="D26" s="70">
        <v>2000</v>
      </c>
      <c r="E26" s="65"/>
    </row>
    <row r="27" spans="1:5" ht="15.6" x14ac:dyDescent="0.3">
      <c r="A27" s="57" t="s">
        <v>21</v>
      </c>
      <c r="B27" s="71">
        <v>25570</v>
      </c>
      <c r="C27" s="71">
        <f>SUM(C21:C26)</f>
        <v>26500</v>
      </c>
      <c r="D27" s="71">
        <f>SUM(D21:D26)</f>
        <v>27200</v>
      </c>
      <c r="E27" s="65"/>
    </row>
    <row r="28" spans="1:5" x14ac:dyDescent="0.25">
      <c r="B28" s="64"/>
      <c r="C28" s="64"/>
      <c r="D28" s="64"/>
      <c r="E28" s="65"/>
    </row>
    <row r="29" spans="1:5" ht="15.6" x14ac:dyDescent="0.3">
      <c r="A29" s="57" t="s">
        <v>22</v>
      </c>
      <c r="B29" s="71">
        <v>24058</v>
      </c>
      <c r="C29" s="71">
        <v>21000</v>
      </c>
      <c r="D29" s="71">
        <v>24973</v>
      </c>
      <c r="E29" s="65"/>
    </row>
    <row r="30" spans="1:5" x14ac:dyDescent="0.25">
      <c r="B30" s="64"/>
      <c r="C30" s="64"/>
      <c r="D30" s="64"/>
      <c r="E30" s="65"/>
    </row>
    <row r="31" spans="1:5" ht="15.6" x14ac:dyDescent="0.3">
      <c r="A31" s="57" t="s">
        <v>23</v>
      </c>
      <c r="B31" s="64"/>
      <c r="C31" s="64"/>
      <c r="D31" s="64"/>
      <c r="E31" s="65"/>
    </row>
    <row r="32" spans="1:5" x14ac:dyDescent="0.25">
      <c r="A32" s="62" t="s">
        <v>26</v>
      </c>
      <c r="B32" s="64">
        <v>5000</v>
      </c>
      <c r="C32" s="64">
        <v>4800</v>
      </c>
      <c r="D32" s="64">
        <v>5000</v>
      </c>
      <c r="E32" s="65"/>
    </row>
    <row r="33" spans="1:7" x14ac:dyDescent="0.25">
      <c r="A33" s="62" t="s">
        <v>27</v>
      </c>
      <c r="B33" s="64">
        <v>10500</v>
      </c>
      <c r="C33" s="64">
        <v>13000</v>
      </c>
      <c r="D33" s="64">
        <f>550*12</f>
        <v>6600</v>
      </c>
      <c r="E33" s="65"/>
    </row>
    <row r="34" spans="1:7" x14ac:dyDescent="0.25">
      <c r="A34" s="62" t="s">
        <v>28</v>
      </c>
      <c r="B34" s="64">
        <v>1300</v>
      </c>
      <c r="C34" s="64">
        <v>500</v>
      </c>
      <c r="D34" s="64">
        <v>2300</v>
      </c>
      <c r="E34" s="65"/>
    </row>
    <row r="35" spans="1:7" x14ac:dyDescent="0.25">
      <c r="A35" s="62" t="s">
        <v>88</v>
      </c>
      <c r="B35" s="64">
        <v>300</v>
      </c>
      <c r="C35" s="64">
        <v>300</v>
      </c>
      <c r="D35" s="64">
        <v>300</v>
      </c>
      <c r="E35" s="65"/>
    </row>
    <row r="36" spans="1:7" ht="15.6" thickBot="1" x14ac:dyDescent="0.3">
      <c r="A36" s="62" t="s">
        <v>29</v>
      </c>
      <c r="B36" s="70">
        <v>1700</v>
      </c>
      <c r="C36" s="70">
        <v>2500</v>
      </c>
      <c r="D36" s="70">
        <v>3500</v>
      </c>
      <c r="E36" s="65"/>
    </row>
    <row r="37" spans="1:7" ht="15.6" x14ac:dyDescent="0.3">
      <c r="A37" s="57" t="s">
        <v>30</v>
      </c>
      <c r="B37" s="71">
        <v>18800</v>
      </c>
      <c r="C37" s="71">
        <f>SUM(C32:C36)</f>
        <v>21100</v>
      </c>
      <c r="D37" s="71">
        <f>SUM(D32:D36)</f>
        <v>17700</v>
      </c>
      <c r="E37" s="65"/>
    </row>
    <row r="38" spans="1:7" x14ac:dyDescent="0.25">
      <c r="B38" s="64"/>
      <c r="C38" s="64"/>
      <c r="D38" s="64"/>
      <c r="E38" s="65"/>
    </row>
    <row r="39" spans="1:7" ht="15.6" x14ac:dyDescent="0.3">
      <c r="A39" s="57" t="s">
        <v>32</v>
      </c>
      <c r="B39" s="64"/>
      <c r="C39" s="64"/>
      <c r="D39" s="64"/>
      <c r="E39" s="65"/>
    </row>
    <row r="40" spans="1:7" x14ac:dyDescent="0.25">
      <c r="A40" s="62" t="s">
        <v>33</v>
      </c>
      <c r="B40" s="64">
        <v>2800</v>
      </c>
      <c r="C40" s="64">
        <v>1800</v>
      </c>
      <c r="D40" s="64">
        <v>2000</v>
      </c>
      <c r="E40" s="65"/>
    </row>
    <row r="41" spans="1:7" ht="15.6" thickBot="1" x14ac:dyDescent="0.3">
      <c r="A41" s="62" t="s">
        <v>34</v>
      </c>
      <c r="B41" s="70">
        <v>16500</v>
      </c>
      <c r="C41" s="70">
        <v>16000</v>
      </c>
      <c r="D41" s="70">
        <v>17000</v>
      </c>
      <c r="E41" s="65"/>
    </row>
    <row r="42" spans="1:7" ht="15.6" x14ac:dyDescent="0.3">
      <c r="A42" s="57" t="s">
        <v>35</v>
      </c>
      <c r="B42" s="71">
        <v>19300</v>
      </c>
      <c r="C42" s="71">
        <f>SUM(C40:C41)</f>
        <v>17800</v>
      </c>
      <c r="D42" s="71">
        <f>SUM(D40:D41)</f>
        <v>19000</v>
      </c>
      <c r="E42" s="65"/>
    </row>
    <row r="43" spans="1:7" x14ac:dyDescent="0.25">
      <c r="B43" s="64"/>
      <c r="C43" s="64"/>
      <c r="D43" s="64"/>
      <c r="E43" s="65"/>
    </row>
    <row r="44" spans="1:7" ht="15.6" x14ac:dyDescent="0.3">
      <c r="A44" s="57" t="s">
        <v>69</v>
      </c>
      <c r="B44" s="71">
        <v>11768.598695004146</v>
      </c>
      <c r="C44" s="71">
        <v>17767</v>
      </c>
      <c r="D44" s="71">
        <v>11768.598695004146</v>
      </c>
      <c r="E44" s="65"/>
    </row>
    <row r="45" spans="1:7" ht="16.2" thickBot="1" x14ac:dyDescent="0.35">
      <c r="A45" s="57" t="s">
        <v>70</v>
      </c>
      <c r="B45" s="70">
        <v>23088</v>
      </c>
      <c r="C45" s="70"/>
      <c r="D45" s="72">
        <v>23088</v>
      </c>
      <c r="E45" s="65"/>
      <c r="G45" s="71"/>
    </row>
    <row r="46" spans="1:7" ht="15.6" x14ac:dyDescent="0.3">
      <c r="A46" s="57" t="s">
        <v>83</v>
      </c>
      <c r="B46" s="68">
        <v>102158</v>
      </c>
      <c r="C46" s="68">
        <f>SUM(C42+C37+C29+C27+C18)</f>
        <v>94505</v>
      </c>
      <c r="D46" s="68">
        <f>D42+D37+D29+D27+D18</f>
        <v>95033</v>
      </c>
      <c r="E46" s="73"/>
    </row>
    <row r="48" spans="1:7" ht="15.6" x14ac:dyDescent="0.3">
      <c r="A48" s="74" t="s">
        <v>56</v>
      </c>
      <c r="B48" s="75" t="s">
        <v>57</v>
      </c>
      <c r="C48" s="76" t="s">
        <v>112</v>
      </c>
    </row>
    <row r="49" spans="1:5" x14ac:dyDescent="0.25">
      <c r="A49" s="78" t="s">
        <v>101</v>
      </c>
      <c r="B49" s="79">
        <v>3.49E-2</v>
      </c>
      <c r="C49" s="80">
        <f>SUM(D46*B49/12)</f>
        <v>276.38764166666664</v>
      </c>
      <c r="E49" s="81">
        <f>SUM(C49*12*4)</f>
        <v>13266.606799999998</v>
      </c>
    </row>
    <row r="50" spans="1:5" ht="30" x14ac:dyDescent="0.25">
      <c r="A50" s="82" t="s">
        <v>102</v>
      </c>
      <c r="B50" s="79">
        <v>3.8600000000000002E-2</v>
      </c>
      <c r="C50" s="80">
        <f>D46*B50/12</f>
        <v>305.68948333333338</v>
      </c>
      <c r="E50" s="81">
        <f>SUM(C50*12*18)</f>
        <v>66028.928400000019</v>
      </c>
    </row>
    <row r="51" spans="1:5" x14ac:dyDescent="0.25">
      <c r="A51" s="78" t="s">
        <v>103</v>
      </c>
      <c r="B51" s="79">
        <v>4.1399999999999999E-2</v>
      </c>
      <c r="C51" s="80">
        <f>SUM(D46*B51/12)</f>
        <v>327.86385000000001</v>
      </c>
      <c r="E51" s="81">
        <f>SUM(C51*4*12)</f>
        <v>15737.464800000002</v>
      </c>
    </row>
    <row r="52" spans="1:5" x14ac:dyDescent="0.25">
      <c r="E52" s="81">
        <f>SUM(E49:E51)</f>
        <v>95033.000000000015</v>
      </c>
    </row>
  </sheetData>
  <mergeCells count="1">
    <mergeCell ref="A1:D1"/>
  </mergeCells>
  <phoneticPr fontId="1" type="noConversion"/>
  <pageMargins left="0.25" right="0.28999999999999998" top="1" bottom="1" header="0.5" footer="0.5"/>
  <pageSetup scale="6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37</vt:i4>
      </vt:variant>
      <vt:variant>
        <vt:lpstr>Named Ranges</vt:lpstr>
      </vt:variant>
      <vt:variant>
        <vt:i4>33</vt:i4>
      </vt:variant>
    </vt:vector>
  </HeadingPairs>
  <TitlesOfParts>
    <vt:vector size="70" baseType="lpstr">
      <vt:lpstr>budget 2010</vt:lpstr>
      <vt:lpstr>reserves 2010</vt:lpstr>
      <vt:lpstr>budget 2011</vt:lpstr>
      <vt:lpstr>reserves 2011)</vt:lpstr>
      <vt:lpstr>budget 2012</vt:lpstr>
      <vt:lpstr>reserves 2012</vt:lpstr>
      <vt:lpstr>budget 2013</vt:lpstr>
      <vt:lpstr>reserves 2013</vt:lpstr>
      <vt:lpstr>budget 2014</vt:lpstr>
      <vt:lpstr>reserves 2014</vt:lpstr>
      <vt:lpstr>budget 2015</vt:lpstr>
      <vt:lpstr>reserves 2015</vt:lpstr>
      <vt:lpstr>LDRCMC assessment 2014</vt:lpstr>
      <vt:lpstr>Sheet1</vt:lpstr>
      <vt:lpstr>budget 2016</vt:lpstr>
      <vt:lpstr>reserves 2016</vt:lpstr>
      <vt:lpstr>Sheet2</vt:lpstr>
      <vt:lpstr>budget 2017</vt:lpstr>
      <vt:lpstr>reserves 2017</vt:lpstr>
      <vt:lpstr>budget 2018</vt:lpstr>
      <vt:lpstr>reserves 2018</vt:lpstr>
      <vt:lpstr>budget 2019</vt:lpstr>
      <vt:lpstr>reserves 2019</vt:lpstr>
      <vt:lpstr>budget 2020</vt:lpstr>
      <vt:lpstr>reserves 2020</vt:lpstr>
      <vt:lpstr>reserves 2021</vt:lpstr>
      <vt:lpstr>budget 2022</vt:lpstr>
      <vt:lpstr>reserves 2022</vt:lpstr>
      <vt:lpstr>Sheet3</vt:lpstr>
      <vt:lpstr>budget 2023</vt:lpstr>
      <vt:lpstr>reserves 2023</vt:lpstr>
      <vt:lpstr>budget 2023 (2)</vt:lpstr>
      <vt:lpstr>reserves 2023 (2)</vt:lpstr>
      <vt:lpstr>reserves 2024</vt:lpstr>
      <vt:lpstr>reserves 2025</vt:lpstr>
      <vt:lpstr>budget 2024</vt:lpstr>
      <vt:lpstr>budget 2025</vt:lpstr>
      <vt:lpstr>'budget 2010'!Print_Area</vt:lpstr>
      <vt:lpstr>'budget 2011'!Print_Area</vt:lpstr>
      <vt:lpstr>'budget 2012'!Print_Area</vt:lpstr>
      <vt:lpstr>'budget 2013'!Print_Area</vt:lpstr>
      <vt:lpstr>'budget 2014'!Print_Area</vt:lpstr>
      <vt:lpstr>'budget 2015'!Print_Area</vt:lpstr>
      <vt:lpstr>'budget 2016'!Print_Area</vt:lpstr>
      <vt:lpstr>'budget 2017'!Print_Area</vt:lpstr>
      <vt:lpstr>'budget 2018'!Print_Area</vt:lpstr>
      <vt:lpstr>'budget 2019'!Print_Area</vt:lpstr>
      <vt:lpstr>'budget 2020'!Print_Area</vt:lpstr>
      <vt:lpstr>'budget 2022'!Print_Area</vt:lpstr>
      <vt:lpstr>'budget 2023'!Print_Area</vt:lpstr>
      <vt:lpstr>'budget 2023 (2)'!Print_Area</vt:lpstr>
      <vt:lpstr>'budget 2024'!Print_Area</vt:lpstr>
      <vt:lpstr>'budget 2025'!Print_Area</vt:lpstr>
      <vt:lpstr>'reserves 2010'!Print_Area</vt:lpstr>
      <vt:lpstr>'reserves 2011)'!Print_Area</vt:lpstr>
      <vt:lpstr>'reserves 2012'!Print_Area</vt:lpstr>
      <vt:lpstr>'reserves 2013'!Print_Area</vt:lpstr>
      <vt:lpstr>'reserves 2014'!Print_Area</vt:lpstr>
      <vt:lpstr>'reserves 2015'!Print_Area</vt:lpstr>
      <vt:lpstr>'reserves 2016'!Print_Area</vt:lpstr>
      <vt:lpstr>'reserves 2017'!Print_Area</vt:lpstr>
      <vt:lpstr>'reserves 2018'!Print_Area</vt:lpstr>
      <vt:lpstr>'reserves 2019'!Print_Area</vt:lpstr>
      <vt:lpstr>'reserves 2020'!Print_Area</vt:lpstr>
      <vt:lpstr>'reserves 2021'!Print_Area</vt:lpstr>
      <vt:lpstr>'reserves 2022'!Print_Area</vt:lpstr>
      <vt:lpstr>'reserves 2023'!Print_Area</vt:lpstr>
      <vt:lpstr>'reserves 2023 (2)'!Print_Area</vt:lpstr>
      <vt:lpstr>'reserves 2024'!Print_Area</vt:lpstr>
      <vt:lpstr>'reserves 2025'!Print_Area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jamie</dc:creator>
  <cp:lastModifiedBy>jamie blum</cp:lastModifiedBy>
  <cp:lastPrinted>2023-11-01T22:43:49Z</cp:lastPrinted>
  <dcterms:created xsi:type="dcterms:W3CDTF">2009-08-18T18:49:28Z</dcterms:created>
  <dcterms:modified xsi:type="dcterms:W3CDTF">2024-10-14T12:50:35Z</dcterms:modified>
</cp:coreProperties>
</file>