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d.docs.live.net/c64690517dddf648/Desktop/"/>
    </mc:Choice>
  </mc:AlternateContent>
  <xr:revisionPtr revIDLastSave="0" documentId="8_{8CDEBB93-B108-491E-8E9C-D1EE9003E512}" xr6:coauthVersionLast="47" xr6:coauthVersionMax="47" xr10:uidLastSave="{00000000-0000-0000-0000-000000000000}"/>
  <bookViews>
    <workbookView xWindow="-108" yWindow="-108" windowWidth="23256" windowHeight="13896" activeTab="4" xr2:uid="{00000000-000D-0000-FFFF-FFFF00000000}"/>
  </bookViews>
  <sheets>
    <sheet name="2023" sheetId="3" r:id="rId1"/>
    <sheet name="Reserves 2023" sheetId="4" r:id="rId2"/>
    <sheet name="2023 adjusted" sheetId="5" r:id="rId3"/>
    <sheet name="2024 budget" sheetId="6" r:id="rId4"/>
    <sheet name="Reserves 2024" sheetId="7" r:id="rId5"/>
  </sheets>
  <definedNames>
    <definedName name="_xlnm.Print_Area" localSheetId="0">'2023'!$A$1:$F$59</definedName>
    <definedName name="_xlnm.Print_Area" localSheetId="2">'2023 adjusted'!$A$1:$F$54</definedName>
    <definedName name="_xlnm.Print_Area" localSheetId="3">'2024 budget'!$A$1:$F$53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7" i="6" l="1"/>
  <c r="I9" i="7"/>
  <c r="I8" i="7"/>
  <c r="I7" i="7"/>
  <c r="I6" i="7"/>
  <c r="E11" i="7"/>
  <c r="C11" i="7"/>
  <c r="H10" i="7"/>
  <c r="I10" i="7" s="1"/>
  <c r="G10" i="7"/>
  <c r="H9" i="7"/>
  <c r="G9" i="7"/>
  <c r="G8" i="7"/>
  <c r="H8" i="7" s="1"/>
  <c r="H7" i="7"/>
  <c r="G7" i="7"/>
  <c r="G6" i="7"/>
  <c r="G11" i="7" s="1"/>
  <c r="F6" i="7"/>
  <c r="H6" i="7" s="1"/>
  <c r="E47" i="6"/>
  <c r="D47" i="6"/>
  <c r="D52" i="6"/>
  <c r="D36" i="6"/>
  <c r="D31" i="6"/>
  <c r="D37" i="6" s="1"/>
  <c r="D25" i="6"/>
  <c r="F52" i="6"/>
  <c r="E52" i="6"/>
  <c r="F47" i="6"/>
  <c r="E37" i="6"/>
  <c r="F31" i="6"/>
  <c r="F37" i="6" s="1"/>
  <c r="D29" i="6"/>
  <c r="E27" i="6"/>
  <c r="E29" i="6" s="1"/>
  <c r="F25" i="6"/>
  <c r="F29" i="6" s="1"/>
  <c r="F23" i="6"/>
  <c r="D23" i="6"/>
  <c r="E23" i="6"/>
  <c r="E10" i="6"/>
  <c r="D10" i="6"/>
  <c r="K26" i="5"/>
  <c r="K25" i="5"/>
  <c r="K24" i="5"/>
  <c r="J39" i="5"/>
  <c r="I24" i="5"/>
  <c r="I22" i="5"/>
  <c r="I21" i="5"/>
  <c r="I17" i="5"/>
  <c r="F53" i="5"/>
  <c r="D53" i="5"/>
  <c r="E51" i="5"/>
  <c r="E53" i="5" s="1"/>
  <c r="F47" i="5"/>
  <c r="E47" i="5"/>
  <c r="D47" i="5"/>
  <c r="E39" i="5"/>
  <c r="D39" i="5"/>
  <c r="F38" i="5"/>
  <c r="F33" i="5"/>
  <c r="F39" i="5" s="1"/>
  <c r="F31" i="5"/>
  <c r="D31" i="5"/>
  <c r="E29" i="5"/>
  <c r="E28" i="5"/>
  <c r="E31" i="5" s="1"/>
  <c r="F26" i="5"/>
  <c r="F24" i="5"/>
  <c r="D24" i="5"/>
  <c r="E23" i="5"/>
  <c r="E24" i="5" s="1"/>
  <c r="J17" i="5"/>
  <c r="I11" i="5"/>
  <c r="E8" i="5"/>
  <c r="D8" i="5"/>
  <c r="E5" i="5"/>
  <c r="E10" i="5" s="1"/>
  <c r="D5" i="5"/>
  <c r="D10" i="5" s="1"/>
  <c r="J17" i="3"/>
  <c r="I17" i="3"/>
  <c r="F15" i="4"/>
  <c r="I10" i="4"/>
  <c r="I9" i="4"/>
  <c r="I8" i="4"/>
  <c r="I7" i="4"/>
  <c r="I6" i="4"/>
  <c r="D15" i="4"/>
  <c r="H10" i="4"/>
  <c r="H9" i="4"/>
  <c r="H8" i="4"/>
  <c r="H7" i="4"/>
  <c r="H6" i="4"/>
  <c r="G10" i="4"/>
  <c r="G9" i="4"/>
  <c r="G8" i="4"/>
  <c r="G7" i="4"/>
  <c r="G6" i="4"/>
  <c r="F6" i="4"/>
  <c r="F37" i="3"/>
  <c r="I11" i="3"/>
  <c r="E46" i="3"/>
  <c r="F23" i="3"/>
  <c r="D30" i="3"/>
  <c r="E38" i="3"/>
  <c r="E28" i="3"/>
  <c r="E27" i="3"/>
  <c r="E50" i="3"/>
  <c r="E52" i="3" s="1"/>
  <c r="F32" i="3"/>
  <c r="F25" i="3"/>
  <c r="F30" i="3" s="1"/>
  <c r="E22" i="3"/>
  <c r="E23" i="3" s="1"/>
  <c r="E5" i="3"/>
  <c r="D5" i="3"/>
  <c r="D8" i="3"/>
  <c r="E8" i="3"/>
  <c r="E11" i="4"/>
  <c r="C11" i="4"/>
  <c r="E53" i="6" l="1"/>
  <c r="F53" i="6"/>
  <c r="D53" i="6"/>
  <c r="H11" i="7"/>
  <c r="D15" i="7" s="1"/>
  <c r="I11" i="7"/>
  <c r="F15" i="7" s="1"/>
  <c r="F54" i="5"/>
  <c r="F5" i="5" s="1"/>
  <c r="I5" i="5" s="1"/>
  <c r="D54" i="5"/>
  <c r="E54" i="5"/>
  <c r="E30" i="3"/>
  <c r="E53" i="3" s="1"/>
  <c r="G11" i="4"/>
  <c r="H11" i="4"/>
  <c r="I11" i="4"/>
  <c r="F5" i="6" l="1"/>
  <c r="F55" i="6" s="1"/>
  <c r="B15" i="7" s="1"/>
  <c r="F10" i="6"/>
  <c r="F10" i="5"/>
  <c r="D52" i="3"/>
  <c r="F52" i="3"/>
  <c r="F46" i="3"/>
  <c r="D46" i="3"/>
  <c r="D38" i="3"/>
  <c r="F38" i="3"/>
  <c r="D10" i="3"/>
  <c r="E10" i="3"/>
  <c r="D23" i="3"/>
  <c r="E15" i="7" l="1"/>
  <c r="G15" i="7"/>
  <c r="F53" i="3"/>
  <c r="D53" i="3"/>
  <c r="F5" i="3" l="1"/>
  <c r="F10" i="3" l="1"/>
  <c r="I5" i="3"/>
  <c r="B15" i="4" s="1"/>
  <c r="G15" i="4" l="1"/>
  <c r="E15" i="4"/>
</calcChain>
</file>

<file path=xl/sharedStrings.xml><?xml version="1.0" encoding="utf-8"?>
<sst xmlns="http://schemas.openxmlformats.org/spreadsheetml/2006/main" count="241" uniqueCount="102">
  <si>
    <r>
      <rPr>
        <b/>
        <sz val="7.5"/>
        <rFont val="Arial"/>
        <family val="2"/>
      </rPr>
      <t>with No Reserves</t>
    </r>
  </si>
  <si>
    <r>
      <rPr>
        <b/>
        <sz val="7.5"/>
        <rFont val="Arial"/>
        <family val="2"/>
      </rPr>
      <t>Management Services</t>
    </r>
  </si>
  <si>
    <r>
      <rPr>
        <sz val="7.5"/>
        <rFont val="Arial"/>
        <family val="2"/>
      </rPr>
      <t>Management Fee</t>
    </r>
  </si>
  <si>
    <r>
      <rPr>
        <sz val="7.5"/>
        <rFont val="Arial"/>
        <family val="2"/>
      </rPr>
      <t>Personnel Salaries</t>
    </r>
  </si>
  <si>
    <r>
      <rPr>
        <sz val="7.5"/>
        <rFont val="Arial"/>
        <family val="2"/>
      </rPr>
      <t>Personnel Insurance</t>
    </r>
  </si>
  <si>
    <r>
      <rPr>
        <b/>
        <sz val="7.5"/>
        <rFont val="Arial"/>
        <family val="2"/>
      </rPr>
      <t>Total Management Services</t>
    </r>
  </si>
  <si>
    <r>
      <rPr>
        <b/>
        <sz val="7.5"/>
        <rFont val="Arial"/>
        <family val="2"/>
      </rPr>
      <t>Contract Services</t>
    </r>
  </si>
  <si>
    <r>
      <rPr>
        <sz val="7.5"/>
        <rFont val="Arial"/>
        <family val="2"/>
      </rPr>
      <t>Landscape Maintenance Contract</t>
    </r>
  </si>
  <si>
    <r>
      <rPr>
        <sz val="7.5"/>
        <rFont val="Arial"/>
        <family val="2"/>
      </rPr>
      <t>Parking Enforcement</t>
    </r>
  </si>
  <si>
    <r>
      <rPr>
        <sz val="7.5"/>
        <rFont val="Arial"/>
        <family val="2"/>
      </rPr>
      <t>Trash Removal</t>
    </r>
  </si>
  <si>
    <r>
      <rPr>
        <sz val="7.5"/>
        <rFont val="Arial"/>
        <family val="2"/>
      </rPr>
      <t>Pest Control</t>
    </r>
  </si>
  <si>
    <r>
      <rPr>
        <sz val="7.5"/>
        <rFont val="Arial"/>
        <family val="2"/>
      </rPr>
      <t>Fire Alarm Monitoring</t>
    </r>
  </si>
  <si>
    <r>
      <rPr>
        <sz val="7.5"/>
        <rFont val="Arial"/>
        <family val="2"/>
      </rPr>
      <t>Pool Maintenance</t>
    </r>
  </si>
  <si>
    <r>
      <rPr>
        <b/>
        <sz val="7.5"/>
        <rFont val="Arial"/>
        <family val="2"/>
      </rPr>
      <t>Total Contract Services</t>
    </r>
  </si>
  <si>
    <r>
      <rPr>
        <b/>
        <sz val="7.5"/>
        <rFont val="Arial"/>
        <family val="2"/>
      </rPr>
      <t>Repairs &amp; Maintenance &amp; Supplies</t>
    </r>
  </si>
  <si>
    <r>
      <rPr>
        <sz val="7.5"/>
        <rFont val="Arial"/>
        <family val="2"/>
      </rPr>
      <t>Tree Trimming</t>
    </r>
  </si>
  <si>
    <r>
      <rPr>
        <sz val="7.5"/>
        <rFont val="Arial"/>
        <family val="2"/>
      </rPr>
      <t>General Maintenance R&amp;M&amp;S</t>
    </r>
  </si>
  <si>
    <r>
      <rPr>
        <sz val="7.5"/>
        <rFont val="Arial"/>
        <family val="2"/>
      </rPr>
      <t>Irrigation Repairs</t>
    </r>
  </si>
  <si>
    <r>
      <rPr>
        <sz val="7.5"/>
        <rFont val="Arial"/>
        <family val="2"/>
      </rPr>
      <t>Carpet &amp; Tile Cleaning</t>
    </r>
  </si>
  <si>
    <r>
      <rPr>
        <sz val="7.5"/>
        <rFont val="Arial"/>
        <family val="2"/>
      </rPr>
      <t>Electrical</t>
    </r>
  </si>
  <si>
    <r>
      <rPr>
        <sz val="7.5"/>
        <rFont val="Arial"/>
        <family val="2"/>
      </rPr>
      <t>Pool Repairs</t>
    </r>
  </si>
  <si>
    <r>
      <rPr>
        <b/>
        <sz val="7.5"/>
        <rFont val="Arial"/>
        <family val="2"/>
      </rPr>
      <t>Total Repairs &amp; Maintenance &amp; Supplies</t>
    </r>
  </si>
  <si>
    <r>
      <rPr>
        <b/>
        <sz val="7.5"/>
        <rFont val="Arial"/>
        <family val="2"/>
      </rPr>
      <t>Utilities</t>
    </r>
  </si>
  <si>
    <r>
      <rPr>
        <sz val="7.5"/>
        <rFont val="Arial"/>
        <family val="2"/>
      </rPr>
      <t>Electricity</t>
    </r>
  </si>
  <si>
    <r>
      <rPr>
        <sz val="7.5"/>
        <rFont val="Arial"/>
        <family val="2"/>
      </rPr>
      <t>Water &amp; Sewer</t>
    </r>
  </si>
  <si>
    <r>
      <rPr>
        <sz val="7.5"/>
        <rFont val="Arial"/>
        <family val="2"/>
      </rPr>
      <t>Telephone</t>
    </r>
  </si>
  <si>
    <r>
      <rPr>
        <b/>
        <sz val="7.5"/>
        <rFont val="Arial"/>
        <family val="2"/>
      </rPr>
      <t>Total Utilities</t>
    </r>
  </si>
  <si>
    <r>
      <rPr>
        <b/>
        <sz val="7.5"/>
        <rFont val="Arial"/>
        <family val="2"/>
      </rPr>
      <t>Total Expenses</t>
    </r>
  </si>
  <si>
    <t xml:space="preserve">Laundry                                                                                                                                                              </t>
  </si>
  <si>
    <t xml:space="preserve">Bank Interest                                                                                                                                                          </t>
  </si>
  <si>
    <r>
      <rPr>
        <b/>
        <sz val="7.5"/>
        <rFont val="Arial"/>
        <family val="2"/>
      </rPr>
      <t xml:space="preserve">General &amp; Administrative Expenses
</t>
    </r>
    <r>
      <rPr>
        <sz val="7.5"/>
        <rFont val="Arial"/>
        <family val="2"/>
      </rPr>
      <t xml:space="preserve">Accounting Fees                                                                                                                                             </t>
    </r>
  </si>
  <si>
    <t xml:space="preserve">Licenses and Permits                                                                                                                                   </t>
  </si>
  <si>
    <t xml:space="preserve">DBPR Fee                                                                                                                                                    </t>
  </si>
  <si>
    <t xml:space="preserve">Legal fees                                                                                                                                                        </t>
  </si>
  <si>
    <t xml:space="preserve">Bank Charges                                                                                                                                                       </t>
  </si>
  <si>
    <t xml:space="preserve">Postage and Mail                                                                                                                                           </t>
  </si>
  <si>
    <t xml:space="preserve">Insurance                                                                                                                                                       </t>
  </si>
  <si>
    <t xml:space="preserve">Bad Debt                                                                                                                                                           </t>
  </si>
  <si>
    <t xml:space="preserve">IT Services                                                                                                                                                                </t>
  </si>
  <si>
    <t xml:space="preserve">Loan Repayment                                                                                                                                     </t>
  </si>
  <si>
    <t xml:space="preserve">Total Administrative Expenses                                                    </t>
  </si>
  <si>
    <t>EXPENSES</t>
  </si>
  <si>
    <t xml:space="preserve">Owner Assessments                                                                                                                   </t>
  </si>
  <si>
    <t xml:space="preserve">Description                        </t>
  </si>
  <si>
    <t>Adjustment</t>
  </si>
  <si>
    <t xml:space="preserve">Approved 2022 </t>
  </si>
  <si>
    <t>Late Fee Income</t>
  </si>
  <si>
    <t>Reserves for 2023</t>
  </si>
  <si>
    <t>Item</t>
  </si>
  <si>
    <t>Estimated</t>
  </si>
  <si>
    <t xml:space="preserve">Estimated </t>
  </si>
  <si>
    <t>% Per Each</t>
  </si>
  <si>
    <t xml:space="preserve">Money in </t>
  </si>
  <si>
    <t xml:space="preserve">Amount </t>
  </si>
  <si>
    <t>Required</t>
  </si>
  <si>
    <t>Life</t>
  </si>
  <si>
    <t>Cost</t>
  </si>
  <si>
    <t>Remaining life</t>
  </si>
  <si>
    <t>Reserve</t>
  </si>
  <si>
    <t>Reserves</t>
  </si>
  <si>
    <t>2023 Budget</t>
  </si>
  <si>
    <t>Account</t>
  </si>
  <si>
    <t>for Life</t>
  </si>
  <si>
    <t>Full Reserves</t>
  </si>
  <si>
    <t>Partial Reserves</t>
  </si>
  <si>
    <t>Roof</t>
  </si>
  <si>
    <t>Parking lot</t>
  </si>
  <si>
    <t>Paint</t>
  </si>
  <si>
    <t>Total</t>
  </si>
  <si>
    <t>Maintenance Fee Without Reserve</t>
  </si>
  <si>
    <t>Maintenance Fee With Reserve</t>
  </si>
  <si>
    <t>Monthly without Reserves</t>
  </si>
  <si>
    <t>Full Reserves Monthly Cost</t>
  </si>
  <si>
    <t>*The Florida Statues require the Board of Directors to adopt a budget with full reserves.  The unit owners at a duly called meeting, may vote against the funding of full reserves or may opt to vote for reserves "less than adequate". (Partial Reserves)</t>
  </si>
  <si>
    <t>Pool</t>
  </si>
  <si>
    <t>Proposed Budget</t>
  </si>
  <si>
    <t>Estimated Expenses</t>
  </si>
  <si>
    <t>Repayment for Flood Insurance</t>
  </si>
  <si>
    <t>Internet</t>
  </si>
  <si>
    <t>Janitoral Service</t>
  </si>
  <si>
    <t>Maintenance Service</t>
  </si>
  <si>
    <t xml:space="preserve">In 2022 Affinity used funds from our loan to pay for the flood insurance which is not allowed per our loan agreement.  The Associaiton must pay these funds back to our loan per our agreement.  This was a total of $48,000.00 for the flood policies we can either do a one time adjustment for $333.00 per Unit or add this to your monthly fee.  Added to your monthly fee it is $499 per month for your associaiton fees or $471.00 with a one time payment of $333.00 to repay our loan.  </t>
  </si>
  <si>
    <t>Concrete</t>
  </si>
  <si>
    <t>Unit</t>
  </si>
  <si>
    <t>2023 Budget - 50%</t>
  </si>
  <si>
    <t>Partial 50% Reserves</t>
  </si>
  <si>
    <t>Partial 50%with Maint.</t>
  </si>
  <si>
    <t xml:space="preserve">Office Supplies/Avid                                                                                                                                           </t>
  </si>
  <si>
    <t>Deerfield Pines Association, Inc. Budget for 2023 from January 1, 2023 to December 31, 2023</t>
  </si>
  <si>
    <t>Deerfield Pines Association, Inc. Budget for 2023 from January 1, 2023 to December 31, 2023 amended as of July 1, 2023</t>
  </si>
  <si>
    <t>Revised Insurance for 2023/2024</t>
  </si>
  <si>
    <t>Approved Adjusted 2023</t>
  </si>
  <si>
    <t>Roof Repairs</t>
  </si>
  <si>
    <t>Plumbing Repairs</t>
  </si>
  <si>
    <t>Monthly maintenance fees for 144 Units</t>
  </si>
  <si>
    <t>2024 Budget</t>
  </si>
  <si>
    <t>Deerfield Pines Association, Inc. Budget for 2024 from January 1, 2024 to December 31, 2024</t>
  </si>
  <si>
    <t>2024 Budget - 10%</t>
  </si>
  <si>
    <t>Partial 10% Reserves</t>
  </si>
  <si>
    <t>per month per unit</t>
  </si>
  <si>
    <t>Partial 10%with Maint.</t>
  </si>
  <si>
    <t xml:space="preserve">Reserves for 2024 -Amended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</si>
</sst>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quot;$&quot;#,##0.00"/>
    <numFmt numFmtId="165" formatCode="&quot;$&quot;#,##0"/>
  </numFmts>
  <fonts count="18" x14ac:knownFonts="1">
    <font>
      <sz val="10"/>
      <color rgb="FF000000"/>
      <name val="Times New Roman"/>
      <charset val="204"/>
    </font>
    <font>
      <b/>
      <sz val="7.5"/>
      <color rgb="FF000000"/>
      <name val="Arial"/>
      <family val="2"/>
    </font>
    <font>
      <b/>
      <sz val="7.5"/>
      <name val="Arial"/>
      <family val="2"/>
    </font>
    <font>
      <sz val="7.5"/>
      <color rgb="FF000000"/>
      <name val="Arial"/>
      <family val="2"/>
    </font>
    <font>
      <sz val="7.5"/>
      <name val="Arial"/>
      <family val="2"/>
    </font>
    <font>
      <b/>
      <sz val="7.5"/>
      <name val="Arial"/>
      <family val="2"/>
    </font>
    <font>
      <sz val="7.5"/>
      <name val="Arial"/>
      <family val="2"/>
    </font>
    <font>
      <b/>
      <sz val="12"/>
      <color rgb="FF000000"/>
      <name val="Times New Roman"/>
      <family val="1"/>
    </font>
    <font>
      <b/>
      <sz val="14"/>
      <color rgb="FF000000"/>
      <name val="Times New Roman"/>
      <family val="1"/>
    </font>
    <font>
      <b/>
      <sz val="12"/>
      <color rgb="FF000000"/>
      <name val="Arial"/>
      <family val="2"/>
    </font>
    <font>
      <b/>
      <sz val="11"/>
      <color rgb="FF000000"/>
      <name val="Arial"/>
      <family val="2"/>
    </font>
    <font>
      <b/>
      <u/>
      <sz val="18"/>
      <name val="Arial"/>
      <family val="2"/>
    </font>
    <font>
      <b/>
      <sz val="11"/>
      <name val="Arial"/>
      <family val="2"/>
    </font>
    <font>
      <b/>
      <sz val="10"/>
      <name val="Arial"/>
      <family val="2"/>
    </font>
    <font>
      <b/>
      <sz val="12"/>
      <name val="Arial"/>
      <family val="2"/>
    </font>
    <font>
      <sz val="12"/>
      <color rgb="FF000000"/>
      <name val="Times New Roman"/>
      <family val="1"/>
    </font>
    <font>
      <sz val="12"/>
      <name val="Arial"/>
      <family val="2"/>
    </font>
    <font>
      <u/>
      <sz val="7.5"/>
      <color rgb="FF000000"/>
      <name val="Arial"/>
      <family val="2"/>
    </font>
  </fonts>
  <fills count="6">
    <fill>
      <patternFill patternType="none"/>
    </fill>
    <fill>
      <patternFill patternType="gray125"/>
    </fill>
    <fill>
      <patternFill patternType="solid">
        <fgColor rgb="FFD9E0F1"/>
      </patternFill>
    </fill>
    <fill>
      <patternFill patternType="solid">
        <fgColor theme="0" tint="-4.9989318521683403E-2"/>
        <bgColor indexed="64"/>
      </patternFill>
    </fill>
    <fill>
      <patternFill patternType="solid">
        <fgColor indexed="22"/>
        <bgColor indexed="64"/>
      </patternFill>
    </fill>
    <fill>
      <patternFill patternType="solid">
        <fgColor rgb="FFFFFF00"/>
        <bgColor indexed="64"/>
      </patternFill>
    </fill>
  </fills>
  <borders count="27">
    <border>
      <left/>
      <right/>
      <top/>
      <bottom/>
      <diagonal/>
    </border>
    <border>
      <left/>
      <right/>
      <top/>
      <bottom style="thin">
        <color rgb="FF000000"/>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108">
    <xf numFmtId="0" fontId="0" fillId="0" borderId="0" xfId="0" applyAlignment="1">
      <alignment horizontal="left" vertical="top"/>
    </xf>
    <xf numFmtId="1" fontId="1" fillId="2" borderId="0" xfId="0" applyNumberFormat="1" applyFont="1" applyFill="1" applyAlignment="1">
      <alignment horizontal="center" vertical="top" shrinkToFit="1"/>
    </xf>
    <xf numFmtId="0" fontId="4" fillId="0" borderId="0" xfId="0" applyFont="1" applyAlignment="1">
      <alignment horizontal="left" vertical="top" wrapText="1"/>
    </xf>
    <xf numFmtId="0" fontId="2" fillId="0" borderId="0" xfId="0" applyFont="1" applyAlignment="1">
      <alignment horizontal="left" vertical="top" wrapText="1"/>
    </xf>
    <xf numFmtId="4" fontId="1" fillId="0" borderId="0" xfId="0" applyNumberFormat="1" applyFont="1" applyAlignment="1">
      <alignment horizontal="center" vertical="top" shrinkToFit="1"/>
    </xf>
    <xf numFmtId="0" fontId="0" fillId="0" borderId="0" xfId="0" applyAlignment="1">
      <alignment horizontal="center" vertical="top"/>
    </xf>
    <xf numFmtId="0" fontId="0" fillId="0" borderId="0" xfId="0" applyAlignment="1">
      <alignment wrapText="1"/>
    </xf>
    <xf numFmtId="164" fontId="0" fillId="0" borderId="0" xfId="0" applyNumberFormat="1" applyAlignment="1">
      <alignment horizontal="left" vertical="top"/>
    </xf>
    <xf numFmtId="164" fontId="0" fillId="0" borderId="0" xfId="0" applyNumberFormat="1" applyAlignment="1">
      <alignment wrapText="1"/>
    </xf>
    <xf numFmtId="0" fontId="2" fillId="2" borderId="0" xfId="0" applyFont="1" applyFill="1" applyAlignment="1">
      <alignment horizontal="center" vertical="top" wrapText="1"/>
    </xf>
    <xf numFmtId="164" fontId="3" fillId="0" borderId="1" xfId="0" applyNumberFormat="1" applyFont="1" applyBorder="1" applyAlignment="1">
      <alignment horizontal="right" vertical="top" shrinkToFit="1"/>
    </xf>
    <xf numFmtId="164" fontId="1" fillId="0" borderId="2" xfId="0" applyNumberFormat="1" applyFont="1" applyBorder="1" applyAlignment="1">
      <alignment horizontal="right" vertical="top" shrinkToFit="1"/>
    </xf>
    <xf numFmtId="164" fontId="3" fillId="0" borderId="0" xfId="0" applyNumberFormat="1" applyFont="1" applyAlignment="1">
      <alignment horizontal="right" vertical="top" shrinkToFit="1"/>
    </xf>
    <xf numFmtId="164" fontId="0" fillId="0" borderId="0" xfId="0" applyNumberFormat="1" applyAlignment="1">
      <alignment horizontal="left" wrapText="1"/>
    </xf>
    <xf numFmtId="4" fontId="3" fillId="0" borderId="0" xfId="0" applyNumberFormat="1" applyFont="1" applyAlignment="1">
      <alignment horizontal="right" vertical="top" indent="1" shrinkToFit="1"/>
    </xf>
    <xf numFmtId="0" fontId="0" fillId="0" borderId="0" xfId="0"/>
    <xf numFmtId="0" fontId="12" fillId="0" borderId="11" xfId="0" applyFont="1" applyBorder="1" applyAlignment="1">
      <alignment horizontal="center"/>
    </xf>
    <xf numFmtId="0" fontId="12" fillId="0" borderId="12" xfId="0" applyFont="1" applyBorder="1" applyAlignment="1">
      <alignment horizontal="center"/>
    </xf>
    <xf numFmtId="2" fontId="12" fillId="0" borderId="12" xfId="0" applyNumberFormat="1" applyFont="1" applyBorder="1" applyAlignment="1">
      <alignment horizontal="center"/>
    </xf>
    <xf numFmtId="0" fontId="12" fillId="0" borderId="13" xfId="0" applyFont="1" applyBorder="1" applyAlignment="1">
      <alignment horizontal="center"/>
    </xf>
    <xf numFmtId="0" fontId="12" fillId="0" borderId="14" xfId="0" applyFont="1" applyBorder="1" applyAlignment="1">
      <alignment horizontal="center"/>
    </xf>
    <xf numFmtId="0" fontId="12" fillId="0" borderId="15" xfId="0" applyFont="1" applyBorder="1" applyAlignment="1">
      <alignment horizontal="center"/>
    </xf>
    <xf numFmtId="2" fontId="12" fillId="0" borderId="15" xfId="0" applyNumberFormat="1" applyFont="1" applyBorder="1" applyAlignment="1">
      <alignment horizontal="center"/>
    </xf>
    <xf numFmtId="0" fontId="12" fillId="0" borderId="16" xfId="0" applyFont="1" applyBorder="1" applyAlignment="1">
      <alignment horizontal="center"/>
    </xf>
    <xf numFmtId="14" fontId="12" fillId="0" borderId="15" xfId="0" applyNumberFormat="1" applyFont="1" applyBorder="1" applyAlignment="1">
      <alignment horizontal="center"/>
    </xf>
    <xf numFmtId="0" fontId="13" fillId="0" borderId="14" xfId="0" applyFont="1" applyBorder="1" applyAlignment="1">
      <alignment horizontal="center"/>
    </xf>
    <xf numFmtId="0" fontId="13" fillId="4" borderId="17" xfId="0" applyFont="1" applyFill="1" applyBorder="1" applyAlignment="1">
      <alignment horizontal="center"/>
    </xf>
    <xf numFmtId="0" fontId="12" fillId="0" borderId="0" xfId="0" applyFont="1"/>
    <xf numFmtId="0" fontId="12" fillId="0" borderId="22" xfId="0" applyFont="1" applyBorder="1" applyAlignment="1">
      <alignment horizontal="center" vertical="center" wrapText="1"/>
    </xf>
    <xf numFmtId="164" fontId="3" fillId="0" borderId="0" xfId="0" applyNumberFormat="1" applyFont="1" applyAlignment="1">
      <alignment horizontal="center" shrinkToFit="1"/>
    </xf>
    <xf numFmtId="164" fontId="3" fillId="0" borderId="0" xfId="0" applyNumberFormat="1" applyFont="1" applyAlignment="1">
      <alignment horizontal="center" vertical="top" shrinkToFit="1"/>
    </xf>
    <xf numFmtId="164" fontId="3" fillId="0" borderId="1" xfId="0" applyNumberFormat="1" applyFont="1" applyBorder="1" applyAlignment="1">
      <alignment horizontal="center" vertical="top" shrinkToFit="1"/>
    </xf>
    <xf numFmtId="164" fontId="10" fillId="0" borderId="2" xfId="0" applyNumberFormat="1" applyFont="1" applyBorder="1" applyAlignment="1">
      <alignment horizontal="center" vertical="top" shrinkToFit="1"/>
    </xf>
    <xf numFmtId="164" fontId="3" fillId="0" borderId="0" xfId="0" applyNumberFormat="1" applyFont="1" applyAlignment="1">
      <alignment horizontal="center" vertical="center" shrinkToFit="1"/>
    </xf>
    <xf numFmtId="164" fontId="1" fillId="0" borderId="2" xfId="0" applyNumberFormat="1" applyFont="1" applyBorder="1" applyAlignment="1">
      <alignment horizontal="center" vertical="top" shrinkToFit="1"/>
    </xf>
    <xf numFmtId="164" fontId="0" fillId="0" borderId="0" xfId="0" applyNumberFormat="1" applyAlignment="1">
      <alignment horizontal="center" wrapText="1"/>
    </xf>
    <xf numFmtId="164" fontId="7" fillId="0" borderId="0" xfId="0" applyNumberFormat="1" applyFont="1" applyAlignment="1">
      <alignment horizontal="center" vertical="top" shrinkToFit="1"/>
    </xf>
    <xf numFmtId="164" fontId="9" fillId="0" borderId="0" xfId="0" applyNumberFormat="1" applyFont="1" applyAlignment="1">
      <alignment horizontal="center" vertical="top" shrinkToFit="1"/>
    </xf>
    <xf numFmtId="164" fontId="0" fillId="0" borderId="0" xfId="0" applyNumberFormat="1" applyAlignment="1">
      <alignment horizontal="center" vertical="top"/>
    </xf>
    <xf numFmtId="0" fontId="15" fillId="0" borderId="15" xfId="0" applyFont="1" applyBorder="1" applyAlignment="1">
      <alignment horizontal="center"/>
    </xf>
    <xf numFmtId="164" fontId="15" fillId="3" borderId="15" xfId="0" applyNumberFormat="1" applyFont="1" applyFill="1" applyBorder="1" applyAlignment="1">
      <alignment horizontal="center"/>
    </xf>
    <xf numFmtId="10" fontId="15" fillId="0" borderId="15" xfId="0" applyNumberFormat="1" applyFont="1" applyBorder="1" applyAlignment="1">
      <alignment horizontal="center"/>
    </xf>
    <xf numFmtId="164" fontId="15" fillId="0" borderId="15" xfId="0" applyNumberFormat="1" applyFont="1" applyBorder="1" applyAlignment="1">
      <alignment horizontal="center"/>
    </xf>
    <xf numFmtId="164" fontId="15" fillId="0" borderId="16" xfId="0" applyNumberFormat="1" applyFont="1" applyBorder="1" applyAlignment="1">
      <alignment horizontal="center"/>
    </xf>
    <xf numFmtId="164" fontId="16" fillId="0" borderId="16" xfId="0" applyNumberFormat="1" applyFont="1" applyBorder="1" applyAlignment="1">
      <alignment horizontal="center"/>
    </xf>
    <xf numFmtId="0" fontId="14" fillId="4" borderId="18" xfId="0" applyFont="1" applyFill="1" applyBorder="1" applyAlignment="1">
      <alignment horizontal="center"/>
    </xf>
    <xf numFmtId="164" fontId="14" fillId="4" borderId="18" xfId="0" applyNumberFormat="1" applyFont="1" applyFill="1" applyBorder="1" applyAlignment="1">
      <alignment horizontal="center"/>
    </xf>
    <xf numFmtId="10" fontId="14" fillId="4" borderId="18" xfId="0" applyNumberFormat="1" applyFont="1" applyFill="1" applyBorder="1" applyAlignment="1">
      <alignment horizontal="center"/>
    </xf>
    <xf numFmtId="164" fontId="14" fillId="4" borderId="19" xfId="0" applyNumberFormat="1" applyFont="1" applyFill="1" applyBorder="1" applyAlignment="1">
      <alignment horizontal="center"/>
    </xf>
    <xf numFmtId="6" fontId="14" fillId="0" borderId="15" xfId="0" applyNumberFormat="1" applyFont="1" applyBorder="1" applyAlignment="1">
      <alignment horizontal="center" vertical="center" wrapText="1"/>
    </xf>
    <xf numFmtId="164" fontId="17" fillId="0" borderId="1" xfId="0" applyNumberFormat="1" applyFont="1" applyBorder="1" applyAlignment="1">
      <alignment horizontal="center" vertical="top" shrinkToFit="1"/>
    </xf>
    <xf numFmtId="0" fontId="12" fillId="5" borderId="22" xfId="0" applyFont="1" applyFill="1" applyBorder="1" applyAlignment="1">
      <alignment horizontal="center" vertical="center" wrapText="1"/>
    </xf>
    <xf numFmtId="6" fontId="14" fillId="5" borderId="15" xfId="0" applyNumberFormat="1" applyFont="1" applyFill="1" applyBorder="1" applyAlignment="1">
      <alignment horizontal="center" vertical="center" wrapText="1"/>
    </xf>
    <xf numFmtId="4" fontId="3" fillId="0" borderId="1" xfId="0" applyNumberFormat="1" applyFont="1" applyBorder="1" applyAlignment="1">
      <alignment horizontal="right" vertical="top" indent="1" shrinkToFit="1"/>
    </xf>
    <xf numFmtId="4" fontId="1" fillId="0" borderId="2" xfId="0" applyNumberFormat="1" applyFont="1" applyBorder="1" applyAlignment="1">
      <alignment horizontal="right" vertical="top" indent="1" shrinkToFit="1"/>
    </xf>
    <xf numFmtId="0" fontId="2" fillId="0" borderId="0" xfId="0" applyFont="1" applyAlignment="1">
      <alignment horizontal="left" vertical="top" wrapText="1"/>
    </xf>
    <xf numFmtId="0" fontId="7" fillId="0" borderId="3" xfId="0" applyFont="1"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0" xfId="0"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4" fontId="3" fillId="0" borderId="0" xfId="0" applyNumberFormat="1" applyFont="1" applyAlignment="1">
      <alignment horizontal="right" vertical="top" indent="1" shrinkToFit="1"/>
    </xf>
    <xf numFmtId="0" fontId="0" fillId="0" borderId="0" xfId="0" applyAlignment="1">
      <alignment horizontal="left" wrapText="1"/>
    </xf>
    <xf numFmtId="2" fontId="3" fillId="0" borderId="0" xfId="0" applyNumberFormat="1" applyFont="1" applyAlignment="1">
      <alignment horizontal="right" vertical="top" indent="1" shrinkToFit="1"/>
    </xf>
    <xf numFmtId="3" fontId="1" fillId="0" borderId="2" xfId="0" applyNumberFormat="1" applyFont="1" applyBorder="1" applyAlignment="1">
      <alignment horizontal="right" vertical="top" indent="1" shrinkToFi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horizontal="left" vertical="top" wrapText="1"/>
    </xf>
    <xf numFmtId="0" fontId="2" fillId="0" borderId="2" xfId="0" applyFont="1" applyBorder="1" applyAlignment="1">
      <alignment horizontal="left" vertical="top" wrapText="1"/>
    </xf>
    <xf numFmtId="4" fontId="3" fillId="0" borderId="0" xfId="0" applyNumberFormat="1" applyFont="1" applyAlignment="1">
      <alignment horizontal="right" vertical="top" shrinkToFit="1"/>
    </xf>
    <xf numFmtId="0" fontId="6" fillId="0" borderId="0" xfId="0" applyFont="1" applyAlignment="1">
      <alignment horizontal="left" vertical="top" wrapText="1"/>
    </xf>
    <xf numFmtId="0" fontId="4" fillId="0" borderId="0" xfId="0" applyFont="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8" fillId="0" borderId="0" xfId="0" applyFont="1" applyAlignment="1">
      <alignment horizontal="center" vertical="top" wrapText="1"/>
    </xf>
    <xf numFmtId="1" fontId="1" fillId="2" borderId="0" xfId="0" applyNumberFormat="1" applyFont="1" applyFill="1" applyAlignment="1">
      <alignment horizontal="right" vertical="top" indent="6" shrinkToFit="1"/>
    </xf>
    <xf numFmtId="1" fontId="1" fillId="2" borderId="0" xfId="0" applyNumberFormat="1" applyFont="1" applyFill="1" applyAlignment="1">
      <alignment horizontal="center" vertical="center" wrapText="1" shrinkToFit="1"/>
    </xf>
    <xf numFmtId="1" fontId="1" fillId="2" borderId="0" xfId="0" applyNumberFormat="1" applyFont="1" applyFill="1" applyAlignment="1">
      <alignment horizontal="center" vertical="center" shrinkToFit="1"/>
    </xf>
    <xf numFmtId="0" fontId="5" fillId="2" borderId="0" xfId="0" applyFont="1" applyFill="1" applyAlignment="1">
      <alignment horizontal="left" vertical="top" wrapText="1" indent="10"/>
    </xf>
    <xf numFmtId="0" fontId="2" fillId="2" borderId="0" xfId="0" applyFont="1" applyFill="1" applyAlignment="1">
      <alignment horizontal="left" vertical="top" wrapText="1" indent="10"/>
    </xf>
    <xf numFmtId="0" fontId="2" fillId="2" borderId="0" xfId="0" applyFont="1" applyFill="1" applyAlignment="1">
      <alignment horizontal="right" vertical="top" wrapText="1" indent="3"/>
    </xf>
    <xf numFmtId="0" fontId="11" fillId="0" borderId="0" xfId="0" applyFont="1" applyAlignment="1">
      <alignment horizontal="center"/>
    </xf>
    <xf numFmtId="0" fontId="12" fillId="0" borderId="20" xfId="0" applyFont="1" applyBorder="1" applyAlignment="1">
      <alignment horizontal="center"/>
    </xf>
    <xf numFmtId="0" fontId="12" fillId="0" borderId="21" xfId="0" applyFont="1" applyBorder="1" applyAlignment="1">
      <alignment horizontal="center"/>
    </xf>
    <xf numFmtId="0" fontId="12" fillId="0" borderId="15" xfId="0" applyFont="1" applyBorder="1" applyAlignment="1">
      <alignment horizontal="center"/>
    </xf>
    <xf numFmtId="8" fontId="12" fillId="0" borderId="22"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8" fontId="12" fillId="0" borderId="23" xfId="0" applyNumberFormat="1" applyFont="1" applyBorder="1" applyAlignment="1">
      <alignment horizontal="center" vertical="center" wrapText="1"/>
    </xf>
    <xf numFmtId="8" fontId="12" fillId="0" borderId="24" xfId="0" applyNumberFormat="1" applyFont="1" applyBorder="1" applyAlignment="1">
      <alignment horizontal="center" vertical="center" wrapText="1"/>
    </xf>
    <xf numFmtId="6" fontId="14" fillId="0" borderId="23" xfId="0" applyNumberFormat="1" applyFont="1" applyBorder="1" applyAlignment="1">
      <alignment horizontal="center" vertical="center"/>
    </xf>
    <xf numFmtId="6" fontId="14"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0" fillId="0" borderId="3" xfId="0" applyBorder="1" applyAlignment="1">
      <alignment horizontal="center" vertical="top"/>
    </xf>
    <xf numFmtId="0" fontId="0" fillId="0" borderId="4" xfId="0" applyBorder="1" applyAlignment="1">
      <alignment horizontal="center" vertical="top"/>
    </xf>
    <xf numFmtId="0" fontId="0" fillId="0" borderId="8" xfId="0" applyBorder="1" applyAlignment="1">
      <alignment horizontal="center" vertical="top"/>
    </xf>
    <xf numFmtId="0" fontId="0" fillId="0" borderId="9" xfId="0" applyBorder="1" applyAlignment="1">
      <alignment horizontal="center" vertical="top"/>
    </xf>
    <xf numFmtId="165" fontId="0" fillId="0" borderId="5" xfId="0" applyNumberFormat="1" applyBorder="1" applyAlignment="1">
      <alignment horizontal="center" vertical="top"/>
    </xf>
    <xf numFmtId="165" fontId="0" fillId="0" borderId="10" xfId="0" applyNumberForma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0</xdr:colOff>
      <xdr:row>51</xdr:row>
      <xdr:rowOff>112394</xdr:rowOff>
    </xdr:from>
    <xdr:ext cx="4006215" cy="10795"/>
    <xdr:sp macro="" textlink="">
      <xdr:nvSpPr>
        <xdr:cNvPr id="2" name="Shape 2">
          <a:extLst>
            <a:ext uri="{FF2B5EF4-FFF2-40B4-BE49-F238E27FC236}">
              <a16:creationId xmlns:a16="http://schemas.microsoft.com/office/drawing/2014/main" id="{F0926CB6-CBB6-48E9-897E-D0D8A1C03646}"/>
            </a:ext>
          </a:extLst>
        </xdr:cNvPr>
        <xdr:cNvSpPr/>
      </xdr:nvSpPr>
      <xdr:spPr>
        <a:xfrm>
          <a:off x="2146300" y="6627494"/>
          <a:ext cx="4006215" cy="10795"/>
        </a:xfrm>
        <a:custGeom>
          <a:avLst/>
          <a:gdLst/>
          <a:ahLst/>
          <a:cxnLst/>
          <a:rect l="0" t="0" r="0" b="0"/>
          <a:pathLst>
            <a:path w="4006215" h="10795">
              <a:moveTo>
                <a:pt x="4005961" y="0"/>
              </a:moveTo>
              <a:lnTo>
                <a:pt x="0" y="0"/>
              </a:lnTo>
              <a:lnTo>
                <a:pt x="0" y="10667"/>
              </a:lnTo>
              <a:lnTo>
                <a:pt x="4005961" y="10667"/>
              </a:lnTo>
              <a:lnTo>
                <a:pt x="4005961" y="0"/>
              </a:lnTo>
              <a:close/>
            </a:path>
          </a:pathLst>
        </a:custGeom>
        <a:solidFill>
          <a:srgbClr val="000000"/>
        </a:solidFill>
      </xdr:spPr>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52</xdr:row>
      <xdr:rowOff>112394</xdr:rowOff>
    </xdr:from>
    <xdr:ext cx="4006215" cy="10795"/>
    <xdr:sp macro="" textlink="">
      <xdr:nvSpPr>
        <xdr:cNvPr id="2" name="Shape 2">
          <a:extLst>
            <a:ext uri="{FF2B5EF4-FFF2-40B4-BE49-F238E27FC236}">
              <a16:creationId xmlns:a16="http://schemas.microsoft.com/office/drawing/2014/main" id="{F14E9C17-AB67-4E68-B1D3-D1127C896EB6}"/>
            </a:ext>
          </a:extLst>
        </xdr:cNvPr>
        <xdr:cNvSpPr/>
      </xdr:nvSpPr>
      <xdr:spPr>
        <a:xfrm>
          <a:off x="2146300" y="6970394"/>
          <a:ext cx="4006215" cy="10795"/>
        </a:xfrm>
        <a:custGeom>
          <a:avLst/>
          <a:gdLst/>
          <a:ahLst/>
          <a:cxnLst/>
          <a:rect l="0" t="0" r="0" b="0"/>
          <a:pathLst>
            <a:path w="4006215" h="10795">
              <a:moveTo>
                <a:pt x="4005961" y="0"/>
              </a:moveTo>
              <a:lnTo>
                <a:pt x="0" y="0"/>
              </a:lnTo>
              <a:lnTo>
                <a:pt x="0" y="10667"/>
              </a:lnTo>
              <a:lnTo>
                <a:pt x="4005961" y="10667"/>
              </a:lnTo>
              <a:lnTo>
                <a:pt x="4005961" y="0"/>
              </a:lnTo>
              <a:close/>
            </a:path>
          </a:pathLst>
        </a:custGeom>
        <a:solidFill>
          <a:srgbClr val="000000"/>
        </a:solidFill>
      </xdr:spPr>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51</xdr:row>
      <xdr:rowOff>112394</xdr:rowOff>
    </xdr:from>
    <xdr:ext cx="4006215" cy="10795"/>
    <xdr:sp macro="" textlink="">
      <xdr:nvSpPr>
        <xdr:cNvPr id="2" name="Shape 2">
          <a:extLst>
            <a:ext uri="{FF2B5EF4-FFF2-40B4-BE49-F238E27FC236}">
              <a16:creationId xmlns:a16="http://schemas.microsoft.com/office/drawing/2014/main" id="{66143147-CE88-45B5-8CC7-149B806F4210}"/>
            </a:ext>
          </a:extLst>
        </xdr:cNvPr>
        <xdr:cNvSpPr/>
      </xdr:nvSpPr>
      <xdr:spPr>
        <a:xfrm>
          <a:off x="1933575" y="7198994"/>
          <a:ext cx="4006215" cy="10795"/>
        </a:xfrm>
        <a:custGeom>
          <a:avLst/>
          <a:gdLst/>
          <a:ahLst/>
          <a:cxnLst/>
          <a:rect l="0" t="0" r="0" b="0"/>
          <a:pathLst>
            <a:path w="4006215" h="10795">
              <a:moveTo>
                <a:pt x="4005961" y="0"/>
              </a:moveTo>
              <a:lnTo>
                <a:pt x="0" y="0"/>
              </a:lnTo>
              <a:lnTo>
                <a:pt x="0" y="10667"/>
              </a:lnTo>
              <a:lnTo>
                <a:pt x="4005961" y="10667"/>
              </a:lnTo>
              <a:lnTo>
                <a:pt x="4005961"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E370F-2FAD-4E9B-8224-A9F0B9577B3B}">
  <dimension ref="A1:J59"/>
  <sheetViews>
    <sheetView zoomScale="130" zoomScaleNormal="130" workbookViewId="0">
      <selection activeCell="F17" sqref="F17"/>
    </sheetView>
  </sheetViews>
  <sheetFormatPr defaultRowHeight="13.2" x14ac:dyDescent="0.25"/>
  <cols>
    <col min="1" max="1" width="33.77734375" customWidth="1"/>
    <col min="2" max="2" width="5.21875" hidden="1" customWidth="1"/>
    <col min="3" max="3" width="18.21875" style="5" hidden="1" customWidth="1"/>
    <col min="4" max="4" width="18.21875" style="5" customWidth="1"/>
    <col min="5" max="5" width="22.44140625" style="5" customWidth="1"/>
    <col min="6" max="6" width="18.77734375" style="5" customWidth="1"/>
    <col min="7" max="7" width="0.44140625" hidden="1" customWidth="1"/>
    <col min="9" max="9" width="9.21875" customWidth="1"/>
  </cols>
  <sheetData>
    <row r="1" spans="1:9" ht="35.700000000000003" customHeight="1" x14ac:dyDescent="0.25">
      <c r="A1" s="78" t="s">
        <v>88</v>
      </c>
      <c r="B1" s="78"/>
      <c r="C1" s="78"/>
      <c r="D1" s="78"/>
      <c r="E1" s="78"/>
      <c r="F1" s="78"/>
    </row>
    <row r="2" spans="1:9" ht="9.75" customHeight="1" x14ac:dyDescent="0.25">
      <c r="A2" s="79"/>
      <c r="B2" s="79"/>
      <c r="C2" s="79"/>
      <c r="D2" s="80" t="s">
        <v>45</v>
      </c>
      <c r="E2" s="1">
        <v>2022</v>
      </c>
      <c r="F2" s="1">
        <v>2023</v>
      </c>
    </row>
    <row r="3" spans="1:9" ht="9.75" customHeight="1" x14ac:dyDescent="0.25">
      <c r="A3" s="82" t="s">
        <v>43</v>
      </c>
      <c r="B3" s="83"/>
      <c r="C3" s="83"/>
      <c r="D3" s="81"/>
      <c r="E3" s="9" t="s">
        <v>76</v>
      </c>
      <c r="F3" s="9" t="s">
        <v>75</v>
      </c>
    </row>
    <row r="4" spans="1:9" ht="10.199999999999999" customHeight="1" x14ac:dyDescent="0.25">
      <c r="A4" s="84"/>
      <c r="B4" s="84"/>
      <c r="C4" s="84"/>
      <c r="D4" s="81"/>
      <c r="E4" s="9"/>
      <c r="F4" s="9" t="s">
        <v>0</v>
      </c>
    </row>
    <row r="5" spans="1:9" x14ac:dyDescent="0.2">
      <c r="A5" s="74" t="s">
        <v>42</v>
      </c>
      <c r="B5" s="77"/>
      <c r="C5" s="77"/>
      <c r="D5" s="29">
        <f>411*166*12</f>
        <v>818712</v>
      </c>
      <c r="E5" s="29">
        <f>411*166*12</f>
        <v>818712</v>
      </c>
      <c r="F5" s="29">
        <f>F53-F7-F6</f>
        <v>861866</v>
      </c>
      <c r="G5" s="7"/>
      <c r="I5" s="7">
        <f>F5/12/144</f>
        <v>498.7650462962963</v>
      </c>
    </row>
    <row r="6" spans="1:9" ht="9.75" customHeight="1" x14ac:dyDescent="0.25">
      <c r="A6" s="2" t="s">
        <v>46</v>
      </c>
      <c r="B6" s="2"/>
      <c r="C6" s="2"/>
      <c r="D6" s="30">
        <v>0</v>
      </c>
      <c r="E6" s="30">
        <v>0</v>
      </c>
      <c r="F6" s="30">
        <v>0</v>
      </c>
      <c r="G6" s="7"/>
    </row>
    <row r="7" spans="1:9" ht="9.75" customHeight="1" x14ac:dyDescent="0.25">
      <c r="A7" s="74" t="s">
        <v>28</v>
      </c>
      <c r="B7" s="75"/>
      <c r="C7" s="75"/>
      <c r="D7" s="30">
        <v>5670.36</v>
      </c>
      <c r="E7" s="30">
        <v>1700</v>
      </c>
      <c r="F7" s="30">
        <v>5000</v>
      </c>
      <c r="G7" s="7"/>
    </row>
    <row r="8" spans="1:9" ht="9.75" customHeight="1" x14ac:dyDescent="0.25">
      <c r="A8" s="74" t="s">
        <v>44</v>
      </c>
      <c r="B8" s="75"/>
      <c r="C8" s="75"/>
      <c r="D8" s="30">
        <f>356*166</f>
        <v>59096</v>
      </c>
      <c r="E8" s="30">
        <f>356*166</f>
        <v>59096</v>
      </c>
      <c r="F8" s="30">
        <v>0</v>
      </c>
      <c r="G8" s="7"/>
    </row>
    <row r="9" spans="1:9" ht="9.75" customHeight="1" x14ac:dyDescent="0.25">
      <c r="A9" s="74" t="s">
        <v>29</v>
      </c>
      <c r="B9" s="75"/>
      <c r="C9" s="75"/>
      <c r="D9" s="30">
        <v>0</v>
      </c>
      <c r="E9" s="30">
        <v>25</v>
      </c>
      <c r="F9" s="30">
        <v>0</v>
      </c>
      <c r="G9" s="7"/>
    </row>
    <row r="10" spans="1:9" ht="19.5" customHeight="1" x14ac:dyDescent="0.25">
      <c r="A10" s="71" t="s">
        <v>41</v>
      </c>
      <c r="B10" s="76"/>
      <c r="C10" s="76"/>
      <c r="D10" s="32">
        <f>SUM(D5:D9)</f>
        <v>883478.36</v>
      </c>
      <c r="E10" s="32">
        <f>SUM(E5:E9)</f>
        <v>879533</v>
      </c>
      <c r="F10" s="32">
        <f>SUM(F5:F9)</f>
        <v>866866</v>
      </c>
      <c r="G10" s="7"/>
    </row>
    <row r="11" spans="1:9" ht="21.75" customHeight="1" x14ac:dyDescent="0.25">
      <c r="A11" s="74" t="s">
        <v>30</v>
      </c>
      <c r="B11" s="77"/>
      <c r="C11" s="77"/>
      <c r="D11" s="33">
        <v>4500</v>
      </c>
      <c r="E11" s="33">
        <v>4500</v>
      </c>
      <c r="F11" s="33">
        <v>5000</v>
      </c>
      <c r="G11" s="7"/>
      <c r="I11">
        <f>48000/144</f>
        <v>333.33333333333331</v>
      </c>
    </row>
    <row r="12" spans="1:9" ht="9.75" customHeight="1" x14ac:dyDescent="0.25">
      <c r="A12" s="74" t="s">
        <v>31</v>
      </c>
      <c r="B12" s="75"/>
      <c r="C12" s="75"/>
      <c r="D12" s="30">
        <v>1000</v>
      </c>
      <c r="E12" s="30">
        <v>1000</v>
      </c>
      <c r="F12" s="30">
        <v>1000</v>
      </c>
      <c r="G12" s="7"/>
    </row>
    <row r="13" spans="1:9" ht="9.75" customHeight="1" x14ac:dyDescent="0.25">
      <c r="A13" s="74" t="s">
        <v>32</v>
      </c>
      <c r="B13" s="75"/>
      <c r="C13" s="75"/>
      <c r="D13" s="30">
        <v>576</v>
      </c>
      <c r="E13" s="30">
        <v>576</v>
      </c>
      <c r="F13" s="30">
        <v>576</v>
      </c>
      <c r="G13" s="7"/>
    </row>
    <row r="14" spans="1:9" ht="9.75" customHeight="1" x14ac:dyDescent="0.25">
      <c r="A14" s="74" t="s">
        <v>33</v>
      </c>
      <c r="B14" s="75"/>
      <c r="C14" s="75"/>
      <c r="D14" s="30">
        <v>8000</v>
      </c>
      <c r="E14" s="30">
        <v>26620.63</v>
      </c>
      <c r="F14" s="30">
        <v>8000</v>
      </c>
      <c r="G14" s="7"/>
    </row>
    <row r="15" spans="1:9" ht="9.75" customHeight="1" x14ac:dyDescent="0.25">
      <c r="A15" s="74" t="s">
        <v>34</v>
      </c>
      <c r="B15" s="75"/>
      <c r="C15" s="75"/>
      <c r="D15" s="30">
        <v>750</v>
      </c>
      <c r="E15" s="30">
        <v>1100</v>
      </c>
      <c r="F15" s="30">
        <v>750</v>
      </c>
      <c r="G15" s="7"/>
    </row>
    <row r="16" spans="1:9" ht="9.75" customHeight="1" x14ac:dyDescent="0.25">
      <c r="A16" s="74" t="s">
        <v>35</v>
      </c>
      <c r="B16" s="75"/>
      <c r="C16" s="75"/>
      <c r="D16" s="30">
        <v>1000</v>
      </c>
      <c r="E16" s="30">
        <v>1000</v>
      </c>
      <c r="F16" s="30">
        <v>1200</v>
      </c>
      <c r="G16" s="7"/>
    </row>
    <row r="17" spans="1:10" ht="9.75" customHeight="1" x14ac:dyDescent="0.25">
      <c r="A17" s="74" t="s">
        <v>36</v>
      </c>
      <c r="B17" s="75"/>
      <c r="C17" s="75"/>
      <c r="D17" s="30">
        <v>374000</v>
      </c>
      <c r="E17" s="30">
        <v>374000</v>
      </c>
      <c r="F17" s="30">
        <v>380000</v>
      </c>
      <c r="G17" s="7"/>
      <c r="I17">
        <f>380000/144/12</f>
        <v>219.90740740740739</v>
      </c>
      <c r="J17">
        <f>220+89</f>
        <v>309</v>
      </c>
    </row>
    <row r="18" spans="1:10" ht="9.75" customHeight="1" x14ac:dyDescent="0.25">
      <c r="A18" s="2" t="s">
        <v>77</v>
      </c>
      <c r="B18" s="2"/>
      <c r="C18" s="2"/>
      <c r="D18" s="30">
        <v>0</v>
      </c>
      <c r="E18" s="30">
        <v>0</v>
      </c>
      <c r="F18" s="30">
        <v>48000</v>
      </c>
      <c r="G18" s="7"/>
      <c r="H18">
        <v>48000</v>
      </c>
    </row>
    <row r="19" spans="1:10" ht="9.75" customHeight="1" x14ac:dyDescent="0.25">
      <c r="A19" s="75" t="s">
        <v>87</v>
      </c>
      <c r="B19" s="75"/>
      <c r="C19" s="75"/>
      <c r="D19" s="30">
        <v>2000</v>
      </c>
      <c r="E19" s="30">
        <v>3300</v>
      </c>
      <c r="F19" s="30">
        <v>3300</v>
      </c>
      <c r="G19" s="7"/>
    </row>
    <row r="20" spans="1:10" ht="9.75" customHeight="1" x14ac:dyDescent="0.25">
      <c r="A20" s="74" t="s">
        <v>37</v>
      </c>
      <c r="B20" s="75"/>
      <c r="C20" s="75"/>
      <c r="D20" s="30">
        <v>2500</v>
      </c>
      <c r="E20" s="30">
        <v>10000</v>
      </c>
      <c r="F20" s="30">
        <v>2500</v>
      </c>
      <c r="G20" s="7"/>
    </row>
    <row r="21" spans="1:10" ht="9.75" customHeight="1" x14ac:dyDescent="0.25">
      <c r="A21" s="74" t="s">
        <v>38</v>
      </c>
      <c r="B21" s="75"/>
      <c r="C21" s="75"/>
      <c r="D21" s="30">
        <v>2892</v>
      </c>
      <c r="E21" s="30">
        <v>1000</v>
      </c>
      <c r="F21" s="30">
        <v>1000</v>
      </c>
      <c r="G21" s="7"/>
    </row>
    <row r="22" spans="1:10" ht="10.199999999999999" customHeight="1" x14ac:dyDescent="0.25">
      <c r="A22" s="69" t="s">
        <v>39</v>
      </c>
      <c r="B22" s="70"/>
      <c r="C22" s="70"/>
      <c r="D22" s="31">
        <v>153787.32</v>
      </c>
      <c r="E22" s="31">
        <f>13000*12</f>
        <v>156000</v>
      </c>
      <c r="F22" s="31">
        <v>156000</v>
      </c>
      <c r="G22" s="7"/>
    </row>
    <row r="23" spans="1:10" ht="9.75" customHeight="1" x14ac:dyDescent="0.25">
      <c r="A23" s="71" t="s">
        <v>40</v>
      </c>
      <c r="B23" s="72"/>
      <c r="C23" s="72"/>
      <c r="D23" s="34">
        <f>SUM(D11:D22)</f>
        <v>551005.32000000007</v>
      </c>
      <c r="E23" s="34">
        <f>SUM(E11:E22)</f>
        <v>579096.63</v>
      </c>
      <c r="F23" s="34">
        <f>SUM(F11:F22)</f>
        <v>607326</v>
      </c>
      <c r="G23" s="7"/>
    </row>
    <row r="24" spans="1:10" ht="9.75" customHeight="1" x14ac:dyDescent="0.25">
      <c r="A24" s="3" t="s">
        <v>1</v>
      </c>
      <c r="B24" s="66"/>
      <c r="C24" s="66"/>
      <c r="D24" s="35"/>
      <c r="E24" s="35"/>
      <c r="F24" s="35"/>
      <c r="G24" s="13"/>
    </row>
    <row r="25" spans="1:10" ht="9.75" customHeight="1" x14ac:dyDescent="0.25">
      <c r="A25" s="2" t="s">
        <v>2</v>
      </c>
      <c r="B25" s="73"/>
      <c r="C25" s="73"/>
      <c r="D25" s="30">
        <v>19733</v>
      </c>
      <c r="E25" s="30">
        <v>170000</v>
      </c>
      <c r="F25" s="30">
        <f>5000*12</f>
        <v>60000</v>
      </c>
      <c r="G25" s="12"/>
    </row>
    <row r="26" spans="1:10" ht="9.75" customHeight="1" x14ac:dyDescent="0.25">
      <c r="A26" s="2" t="s">
        <v>3</v>
      </c>
      <c r="B26" s="65"/>
      <c r="C26" s="65"/>
      <c r="D26" s="30">
        <v>128114.9</v>
      </c>
      <c r="E26" s="30">
        <v>70000</v>
      </c>
      <c r="F26" s="30">
        <v>0</v>
      </c>
      <c r="G26" s="12"/>
    </row>
    <row r="27" spans="1:10" ht="9.75" customHeight="1" x14ac:dyDescent="0.25">
      <c r="A27" s="2" t="s">
        <v>79</v>
      </c>
      <c r="B27" s="14"/>
      <c r="C27" s="14"/>
      <c r="D27" s="30">
        <v>0</v>
      </c>
      <c r="E27" s="30">
        <f>1600*12</f>
        <v>19200</v>
      </c>
      <c r="F27" s="30">
        <v>19200</v>
      </c>
      <c r="G27" s="12"/>
    </row>
    <row r="28" spans="1:10" ht="9.75" customHeight="1" x14ac:dyDescent="0.25">
      <c r="A28" s="2" t="s">
        <v>80</v>
      </c>
      <c r="B28" s="14"/>
      <c r="C28" s="14"/>
      <c r="D28" s="30">
        <v>0</v>
      </c>
      <c r="E28" s="30">
        <f>300*15</f>
        <v>4500</v>
      </c>
      <c r="F28" s="30">
        <v>5000</v>
      </c>
      <c r="G28" s="12"/>
    </row>
    <row r="29" spans="1:10" ht="10.199999999999999" customHeight="1" x14ac:dyDescent="0.25">
      <c r="A29" s="2" t="s">
        <v>4</v>
      </c>
      <c r="B29" s="53"/>
      <c r="C29" s="53"/>
      <c r="D29" s="31">
        <v>10800</v>
      </c>
      <c r="E29" s="31">
        <v>5500</v>
      </c>
      <c r="F29" s="31">
        <v>0</v>
      </c>
      <c r="G29" s="10"/>
    </row>
    <row r="30" spans="1:10" ht="9.75" customHeight="1" x14ac:dyDescent="0.25">
      <c r="A30" s="3" t="s">
        <v>5</v>
      </c>
      <c r="B30" s="68"/>
      <c r="C30" s="68"/>
      <c r="D30" s="34">
        <f>SUM(D25:D29)</f>
        <v>158647.9</v>
      </c>
      <c r="E30" s="34">
        <f>SUM(E25:E29)</f>
        <v>269200</v>
      </c>
      <c r="F30" s="34">
        <f>SUM(F25:F29)</f>
        <v>84200</v>
      </c>
      <c r="G30" s="11"/>
    </row>
    <row r="31" spans="1:10" ht="9.75" customHeight="1" x14ac:dyDescent="0.25">
      <c r="A31" s="3" t="s">
        <v>6</v>
      </c>
      <c r="B31" s="66"/>
      <c r="C31" s="66"/>
      <c r="D31" s="35"/>
      <c r="E31" s="35"/>
      <c r="F31" s="35"/>
      <c r="G31" s="13"/>
    </row>
    <row r="32" spans="1:10" ht="9.75" customHeight="1" x14ac:dyDescent="0.25">
      <c r="A32" s="2" t="s">
        <v>7</v>
      </c>
      <c r="B32" s="65"/>
      <c r="C32" s="65"/>
      <c r="D32" s="30">
        <v>18000</v>
      </c>
      <c r="E32" s="30">
        <v>16000</v>
      </c>
      <c r="F32" s="30">
        <f>1600*12</f>
        <v>19200</v>
      </c>
      <c r="G32" s="12"/>
    </row>
    <row r="33" spans="1:7" ht="9.75" customHeight="1" x14ac:dyDescent="0.25">
      <c r="A33" s="2" t="s">
        <v>8</v>
      </c>
      <c r="B33" s="67"/>
      <c r="C33" s="67"/>
      <c r="D33" s="30">
        <v>4500</v>
      </c>
      <c r="E33" s="30">
        <v>0</v>
      </c>
      <c r="F33" s="30">
        <v>0</v>
      </c>
      <c r="G33" s="12"/>
    </row>
    <row r="34" spans="1:7" ht="9.75" customHeight="1" x14ac:dyDescent="0.25">
      <c r="A34" s="2" t="s">
        <v>9</v>
      </c>
      <c r="B34" s="65"/>
      <c r="C34" s="65"/>
      <c r="D34" s="30">
        <v>17000</v>
      </c>
      <c r="E34" s="30">
        <v>13200</v>
      </c>
      <c r="F34" s="30">
        <v>15000</v>
      </c>
      <c r="G34" s="12"/>
    </row>
    <row r="35" spans="1:7" ht="10.199999999999999" customHeight="1" x14ac:dyDescent="0.25">
      <c r="A35" s="2" t="s">
        <v>10</v>
      </c>
      <c r="B35" s="65"/>
      <c r="C35" s="65"/>
      <c r="D35" s="30">
        <v>6000</v>
      </c>
      <c r="E35" s="30">
        <v>9840</v>
      </c>
      <c r="F35" s="30">
        <v>10000</v>
      </c>
      <c r="G35" s="12"/>
    </row>
    <row r="36" spans="1:7" ht="9.75" customHeight="1" x14ac:dyDescent="0.25">
      <c r="A36" s="2" t="s">
        <v>11</v>
      </c>
      <c r="B36" s="65"/>
      <c r="C36" s="65"/>
      <c r="D36" s="30">
        <v>3000</v>
      </c>
      <c r="E36" s="30">
        <v>7810</v>
      </c>
      <c r="F36" s="30">
        <v>2000</v>
      </c>
      <c r="G36" s="12"/>
    </row>
    <row r="37" spans="1:7" ht="10.199999999999999" customHeight="1" x14ac:dyDescent="0.25">
      <c r="A37" s="2" t="s">
        <v>12</v>
      </c>
      <c r="B37" s="53"/>
      <c r="C37" s="53"/>
      <c r="D37" s="31">
        <v>4200</v>
      </c>
      <c r="E37" s="31">
        <v>10200</v>
      </c>
      <c r="F37" s="31">
        <f>350*12</f>
        <v>4200</v>
      </c>
      <c r="G37" s="10"/>
    </row>
    <row r="38" spans="1:7" ht="9.75" customHeight="1" x14ac:dyDescent="0.25">
      <c r="A38" s="3" t="s">
        <v>13</v>
      </c>
      <c r="B38" s="54"/>
      <c r="C38" s="54"/>
      <c r="D38" s="34">
        <f>SUM(D32:D37)</f>
        <v>52700</v>
      </c>
      <c r="E38" s="34">
        <f>SUM(E32:E37)</f>
        <v>57050</v>
      </c>
      <c r="F38" s="34">
        <f>SUM(F32:F37)</f>
        <v>50400</v>
      </c>
      <c r="G38" s="11"/>
    </row>
    <row r="39" spans="1:7" ht="9.75" customHeight="1" x14ac:dyDescent="0.25">
      <c r="A39" s="3" t="s">
        <v>14</v>
      </c>
      <c r="B39" s="66"/>
      <c r="C39" s="66"/>
      <c r="D39" s="35"/>
      <c r="E39" s="35"/>
      <c r="F39" s="35"/>
      <c r="G39" s="13"/>
    </row>
    <row r="40" spans="1:7" ht="9.75" customHeight="1" x14ac:dyDescent="0.25">
      <c r="A40" s="2" t="s">
        <v>15</v>
      </c>
      <c r="B40" s="65"/>
      <c r="C40" s="65"/>
      <c r="D40" s="30">
        <v>10000</v>
      </c>
      <c r="E40" s="30">
        <v>0</v>
      </c>
      <c r="F40" s="30">
        <v>5500</v>
      </c>
      <c r="G40" s="12"/>
    </row>
    <row r="41" spans="1:7" ht="9.75" customHeight="1" x14ac:dyDescent="0.25">
      <c r="A41" s="2" t="s">
        <v>16</v>
      </c>
      <c r="B41" s="65"/>
      <c r="C41" s="65"/>
      <c r="D41" s="30">
        <v>23400</v>
      </c>
      <c r="E41" s="30">
        <v>28800</v>
      </c>
      <c r="F41" s="30">
        <v>28000</v>
      </c>
      <c r="G41" s="12"/>
    </row>
    <row r="42" spans="1:7" ht="9.75" customHeight="1" x14ac:dyDescent="0.25">
      <c r="A42" s="2" t="s">
        <v>17</v>
      </c>
      <c r="B42" s="65"/>
      <c r="C42" s="65"/>
      <c r="D42" s="30">
        <v>2000</v>
      </c>
      <c r="E42" s="30">
        <v>2700</v>
      </c>
      <c r="F42" s="30">
        <v>3500</v>
      </c>
      <c r="G42" s="12"/>
    </row>
    <row r="43" spans="1:7" ht="9.75" customHeight="1" x14ac:dyDescent="0.25">
      <c r="A43" s="2" t="s">
        <v>18</v>
      </c>
      <c r="B43" s="65"/>
      <c r="C43" s="65"/>
      <c r="D43" s="30">
        <v>3000</v>
      </c>
      <c r="E43" s="30">
        <v>0</v>
      </c>
      <c r="F43" s="30">
        <v>4000</v>
      </c>
      <c r="G43" s="12"/>
    </row>
    <row r="44" spans="1:7" ht="9.75" customHeight="1" x14ac:dyDescent="0.25">
      <c r="A44" s="2" t="s">
        <v>19</v>
      </c>
      <c r="B44" s="65"/>
      <c r="C44" s="65"/>
      <c r="D44" s="30">
        <v>3000</v>
      </c>
      <c r="E44" s="30">
        <v>5028</v>
      </c>
      <c r="F44" s="30">
        <v>4000</v>
      </c>
      <c r="G44" s="12"/>
    </row>
    <row r="45" spans="1:7" ht="10.199999999999999" customHeight="1" x14ac:dyDescent="0.25">
      <c r="A45" s="2" t="s">
        <v>20</v>
      </c>
      <c r="B45" s="53"/>
      <c r="C45" s="53"/>
      <c r="D45" s="31">
        <v>3000</v>
      </c>
      <c r="E45" s="31">
        <v>2550</v>
      </c>
      <c r="F45" s="31">
        <v>1500</v>
      </c>
      <c r="G45" s="10"/>
    </row>
    <row r="46" spans="1:7" ht="9.75" customHeight="1" x14ac:dyDescent="0.25">
      <c r="A46" s="3" t="s">
        <v>21</v>
      </c>
      <c r="B46" s="54"/>
      <c r="C46" s="54"/>
      <c r="D46" s="34">
        <f>SUM(D40:D45)</f>
        <v>44400</v>
      </c>
      <c r="E46" s="34">
        <f>SUM(E40:E45)</f>
        <v>39078</v>
      </c>
      <c r="F46" s="34">
        <f>SUM(F40:F45)</f>
        <v>46500</v>
      </c>
      <c r="G46" s="11"/>
    </row>
    <row r="47" spans="1:7" ht="9.75" customHeight="1" x14ac:dyDescent="0.25">
      <c r="A47" s="3" t="s">
        <v>22</v>
      </c>
      <c r="B47" s="6"/>
      <c r="C47" s="6"/>
      <c r="D47" s="35"/>
      <c r="E47" s="35"/>
      <c r="F47" s="35"/>
      <c r="G47" s="8"/>
    </row>
    <row r="48" spans="1:7" ht="9.75" customHeight="1" x14ac:dyDescent="0.25">
      <c r="A48" s="2" t="s">
        <v>23</v>
      </c>
      <c r="B48" s="65"/>
      <c r="C48" s="65"/>
      <c r="D48" s="30">
        <v>15000</v>
      </c>
      <c r="E48" s="30">
        <v>16128</v>
      </c>
      <c r="F48" s="30">
        <v>17000</v>
      </c>
      <c r="G48" s="12"/>
    </row>
    <row r="49" spans="1:7" ht="9.75" customHeight="1" x14ac:dyDescent="0.25">
      <c r="A49" s="2" t="s">
        <v>24</v>
      </c>
      <c r="B49" s="65"/>
      <c r="C49" s="65"/>
      <c r="D49" s="30">
        <v>50000</v>
      </c>
      <c r="E49" s="30">
        <v>58800</v>
      </c>
      <c r="F49" s="30">
        <v>60000</v>
      </c>
      <c r="G49" s="12"/>
    </row>
    <row r="50" spans="1:7" ht="9.75" customHeight="1" x14ac:dyDescent="0.25">
      <c r="A50" s="2" t="s">
        <v>78</v>
      </c>
      <c r="B50" s="14"/>
      <c r="C50" s="14"/>
      <c r="D50" s="30"/>
      <c r="E50" s="30">
        <f>120*12</f>
        <v>1440</v>
      </c>
      <c r="F50" s="30">
        <v>1440</v>
      </c>
      <c r="G50" s="12"/>
    </row>
    <row r="51" spans="1:7" ht="10.5" customHeight="1" x14ac:dyDescent="0.25">
      <c r="A51" s="2" t="s">
        <v>25</v>
      </c>
      <c r="B51" s="53"/>
      <c r="C51" s="53"/>
      <c r="D51" s="31">
        <v>1400</v>
      </c>
      <c r="E51" s="31">
        <v>200</v>
      </c>
      <c r="F51" s="31">
        <v>0</v>
      </c>
      <c r="G51" s="10"/>
    </row>
    <row r="52" spans="1:7" ht="9.75" customHeight="1" x14ac:dyDescent="0.25">
      <c r="A52" s="3" t="s">
        <v>26</v>
      </c>
      <c r="B52" s="54"/>
      <c r="C52" s="54"/>
      <c r="D52" s="34">
        <f>SUM(D48+D49)+F51+H3</f>
        <v>65000</v>
      </c>
      <c r="E52" s="34">
        <f>SUM(E48:E51)</f>
        <v>76568</v>
      </c>
      <c r="F52" s="34">
        <f>SUM(F48:F51)</f>
        <v>78440</v>
      </c>
      <c r="G52" s="11"/>
    </row>
    <row r="53" spans="1:7" ht="18" customHeight="1" x14ac:dyDescent="0.25">
      <c r="A53" s="55" t="s">
        <v>27</v>
      </c>
      <c r="B53" s="55"/>
      <c r="C53" s="4">
        <v>671824.96</v>
      </c>
      <c r="D53" s="36">
        <f>SUM(D23+D30+D38+D46+D52)</f>
        <v>871753.22000000009</v>
      </c>
      <c r="E53" s="37">
        <f>SUM(E52+E46+E38+E30+E23)</f>
        <v>1020992.63</v>
      </c>
      <c r="F53" s="36">
        <f>SUM(F23+F30+F38+F46+F52)</f>
        <v>866866</v>
      </c>
      <c r="G53" s="7"/>
    </row>
    <row r="54" spans="1:7" ht="13.8" thickBot="1" x14ac:dyDescent="0.3">
      <c r="D54" s="38"/>
      <c r="E54" s="38"/>
      <c r="F54" s="38"/>
      <c r="G54" s="7"/>
    </row>
    <row r="55" spans="1:7" x14ac:dyDescent="0.25">
      <c r="A55" s="56" t="s">
        <v>81</v>
      </c>
      <c r="B55" s="57"/>
      <c r="C55" s="57"/>
      <c r="D55" s="57"/>
      <c r="E55" s="57"/>
      <c r="F55" s="58"/>
    </row>
    <row r="56" spans="1:7" x14ac:dyDescent="0.25">
      <c r="A56" s="59"/>
      <c r="B56" s="60"/>
      <c r="C56" s="60"/>
      <c r="D56" s="60"/>
      <c r="E56" s="60"/>
      <c r="F56" s="61"/>
    </row>
    <row r="57" spans="1:7" x14ac:dyDescent="0.25">
      <c r="A57" s="59"/>
      <c r="B57" s="60"/>
      <c r="C57" s="60"/>
      <c r="D57" s="60"/>
      <c r="E57" s="60"/>
      <c r="F57" s="61"/>
    </row>
    <row r="58" spans="1:7" x14ac:dyDescent="0.25">
      <c r="A58" s="59"/>
      <c r="B58" s="60"/>
      <c r="C58" s="60"/>
      <c r="D58" s="60"/>
      <c r="E58" s="60"/>
      <c r="F58" s="61"/>
    </row>
    <row r="59" spans="1:7" ht="46.2" customHeight="1" thickBot="1" x14ac:dyDescent="0.3">
      <c r="A59" s="62"/>
      <c r="B59" s="63"/>
      <c r="C59" s="63"/>
      <c r="D59" s="63"/>
      <c r="E59" s="63"/>
      <c r="F59" s="64"/>
    </row>
  </sheetData>
  <mergeCells count="49">
    <mergeCell ref="A5:C5"/>
    <mergeCell ref="A1:F1"/>
    <mergeCell ref="A2:C2"/>
    <mergeCell ref="D2:D4"/>
    <mergeCell ref="A3:C3"/>
    <mergeCell ref="A4:C4"/>
    <mergeCell ref="A15:C15"/>
    <mergeCell ref="A7:C7"/>
    <mergeCell ref="A8:C8"/>
    <mergeCell ref="A9:C9"/>
    <mergeCell ref="A10:C10"/>
    <mergeCell ref="A11:C11"/>
    <mergeCell ref="A12:C12"/>
    <mergeCell ref="A13:C13"/>
    <mergeCell ref="A14:C14"/>
    <mergeCell ref="A22:C22"/>
    <mergeCell ref="A23:C23"/>
    <mergeCell ref="B24:C24"/>
    <mergeCell ref="B25:C25"/>
    <mergeCell ref="A16:C16"/>
    <mergeCell ref="A17:C17"/>
    <mergeCell ref="A19:C19"/>
    <mergeCell ref="A20:C20"/>
    <mergeCell ref="A21:C21"/>
    <mergeCell ref="B31:C31"/>
    <mergeCell ref="B32:C32"/>
    <mergeCell ref="B33:C33"/>
    <mergeCell ref="B26:C26"/>
    <mergeCell ref="B29:C29"/>
    <mergeCell ref="B30:C30"/>
    <mergeCell ref="B37:C37"/>
    <mergeCell ref="B38:C38"/>
    <mergeCell ref="B39:C39"/>
    <mergeCell ref="B34:C34"/>
    <mergeCell ref="B35:C35"/>
    <mergeCell ref="B36:C36"/>
    <mergeCell ref="B43:C43"/>
    <mergeCell ref="B44:C44"/>
    <mergeCell ref="B45:C45"/>
    <mergeCell ref="B40:C40"/>
    <mergeCell ref="B41:C41"/>
    <mergeCell ref="B42:C42"/>
    <mergeCell ref="B51:C51"/>
    <mergeCell ref="B52:C52"/>
    <mergeCell ref="A53:B53"/>
    <mergeCell ref="A55:F59"/>
    <mergeCell ref="B46:C46"/>
    <mergeCell ref="B48:C48"/>
    <mergeCell ref="B49:C4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F393C-93B5-4C5F-AF2A-83394D896325}">
  <dimension ref="A1:I19"/>
  <sheetViews>
    <sheetView topLeftCell="A10" zoomScaleNormal="100" workbookViewId="0">
      <selection activeCell="I43" sqref="I43"/>
    </sheetView>
  </sheetViews>
  <sheetFormatPr defaultRowHeight="13.2" x14ac:dyDescent="0.25"/>
  <cols>
    <col min="1" max="1" width="12.6640625" bestFit="1" customWidth="1"/>
    <col min="2" max="2" width="12.77734375" bestFit="1" customWidth="1"/>
    <col min="3" max="3" width="16.33203125" bestFit="1" customWidth="1"/>
    <col min="4" max="4" width="18.44140625" bestFit="1" customWidth="1"/>
    <col min="5" max="5" width="14.77734375" bestFit="1" customWidth="1"/>
    <col min="6" max="6" width="13.44140625" bestFit="1" customWidth="1"/>
    <col min="7" max="7" width="14.33203125" bestFit="1" customWidth="1"/>
    <col min="8" max="8" width="18.21875" bestFit="1" customWidth="1"/>
    <col min="9" max="9" width="23.44140625" bestFit="1" customWidth="1"/>
  </cols>
  <sheetData>
    <row r="1" spans="1:9" ht="22.8" x14ac:dyDescent="0.4">
      <c r="A1" s="85" t="s">
        <v>47</v>
      </c>
      <c r="B1" s="85"/>
      <c r="C1" s="85"/>
      <c r="D1" s="85"/>
      <c r="E1" s="85"/>
      <c r="F1" s="85"/>
      <c r="G1" s="85"/>
      <c r="H1" s="85"/>
      <c r="I1" s="15"/>
    </row>
    <row r="2" spans="1:9" ht="13.8" thickBot="1" x14ac:dyDescent="0.3">
      <c r="A2" s="15"/>
      <c r="B2" s="15"/>
      <c r="C2" s="15"/>
      <c r="D2" s="15"/>
      <c r="E2" s="15"/>
      <c r="F2" s="15"/>
      <c r="G2" s="15"/>
      <c r="H2" s="15"/>
      <c r="I2" s="15"/>
    </row>
    <row r="3" spans="1:9" ht="13.8" x14ac:dyDescent="0.25">
      <c r="A3" s="16" t="s">
        <v>48</v>
      </c>
      <c r="B3" s="17" t="s">
        <v>49</v>
      </c>
      <c r="C3" s="17" t="s">
        <v>49</v>
      </c>
      <c r="D3" s="17" t="s">
        <v>50</v>
      </c>
      <c r="E3" s="18" t="s">
        <v>51</v>
      </c>
      <c r="F3" s="17" t="s">
        <v>52</v>
      </c>
      <c r="G3" s="17" t="s">
        <v>53</v>
      </c>
      <c r="H3" s="19" t="s">
        <v>54</v>
      </c>
      <c r="I3" s="19" t="s">
        <v>54</v>
      </c>
    </row>
    <row r="4" spans="1:9" ht="13.8" x14ac:dyDescent="0.25">
      <c r="A4" s="20"/>
      <c r="B4" s="21" t="s">
        <v>55</v>
      </c>
      <c r="C4" s="21" t="s">
        <v>56</v>
      </c>
      <c r="D4" s="21" t="s">
        <v>57</v>
      </c>
      <c r="E4" s="22" t="s">
        <v>58</v>
      </c>
      <c r="F4" s="21" t="s">
        <v>59</v>
      </c>
      <c r="G4" s="21" t="s">
        <v>54</v>
      </c>
      <c r="H4" s="23" t="s">
        <v>60</v>
      </c>
      <c r="I4" s="23" t="s">
        <v>84</v>
      </c>
    </row>
    <row r="5" spans="1:9" ht="13.8" x14ac:dyDescent="0.25">
      <c r="A5" s="20"/>
      <c r="B5" s="21"/>
      <c r="C5" s="21"/>
      <c r="D5" s="21"/>
      <c r="E5" s="22" t="s">
        <v>61</v>
      </c>
      <c r="F5" s="24">
        <v>44926</v>
      </c>
      <c r="G5" s="21" t="s">
        <v>62</v>
      </c>
      <c r="H5" s="23" t="s">
        <v>63</v>
      </c>
      <c r="I5" s="23" t="s">
        <v>64</v>
      </c>
    </row>
    <row r="6" spans="1:9" ht="15.6" x14ac:dyDescent="0.3">
      <c r="A6" s="25" t="s">
        <v>65</v>
      </c>
      <c r="B6" s="39">
        <v>25</v>
      </c>
      <c r="C6" s="40">
        <v>750000</v>
      </c>
      <c r="D6" s="39">
        <v>22</v>
      </c>
      <c r="E6" s="41">
        <v>0.2</v>
      </c>
      <c r="F6" s="42">
        <f>F11*0.2</f>
        <v>2000</v>
      </c>
      <c r="G6" s="42">
        <f>SUM(C6/D6)</f>
        <v>34090.909090909088</v>
      </c>
      <c r="H6" s="43">
        <f>SUM(C6/D6)-F6</f>
        <v>32090.909090909088</v>
      </c>
      <c r="I6" s="44">
        <f>SUM(H6*0.5)</f>
        <v>16045.454545454544</v>
      </c>
    </row>
    <row r="7" spans="1:9" ht="15.6" x14ac:dyDescent="0.3">
      <c r="A7" s="25" t="s">
        <v>66</v>
      </c>
      <c r="B7" s="39">
        <v>15</v>
      </c>
      <c r="C7" s="42">
        <v>180000</v>
      </c>
      <c r="D7" s="39">
        <v>2</v>
      </c>
      <c r="E7" s="41">
        <v>0.2</v>
      </c>
      <c r="F7" s="42">
        <v>2000</v>
      </c>
      <c r="G7" s="42">
        <f>SUM(C7/D7)</f>
        <v>90000</v>
      </c>
      <c r="H7" s="43">
        <f>SUM(C7/D7)-F7</f>
        <v>88000</v>
      </c>
      <c r="I7" s="43">
        <f>SUM(H7*0.5)</f>
        <v>44000</v>
      </c>
    </row>
    <row r="8" spans="1:9" ht="15.6" x14ac:dyDescent="0.3">
      <c r="A8" s="25" t="s">
        <v>82</v>
      </c>
      <c r="B8" s="39">
        <v>20</v>
      </c>
      <c r="C8" s="42">
        <v>250000</v>
      </c>
      <c r="D8" s="39">
        <v>18</v>
      </c>
      <c r="E8" s="41">
        <v>0.2</v>
      </c>
      <c r="F8" s="42">
        <v>2000</v>
      </c>
      <c r="G8" s="42">
        <f>C8/18</f>
        <v>13888.888888888889</v>
      </c>
      <c r="H8" s="43">
        <f>SUM(G8-F8)</f>
        <v>11888.888888888889</v>
      </c>
      <c r="I8" s="43">
        <f>SUM(H8*0.5)</f>
        <v>5944.4444444444443</v>
      </c>
    </row>
    <row r="9" spans="1:9" ht="15.6" x14ac:dyDescent="0.3">
      <c r="A9" s="25" t="s">
        <v>74</v>
      </c>
      <c r="B9" s="39">
        <v>12</v>
      </c>
      <c r="C9" s="42">
        <v>25000</v>
      </c>
      <c r="D9" s="39">
        <v>6</v>
      </c>
      <c r="E9" s="41">
        <v>0.2</v>
      </c>
      <c r="F9" s="42">
        <v>2000</v>
      </c>
      <c r="G9" s="42">
        <f>SUM(C9/D9)</f>
        <v>4166.666666666667</v>
      </c>
      <c r="H9" s="43">
        <f>SUM(C9/D9)-F9</f>
        <v>2166.666666666667</v>
      </c>
      <c r="I9" s="43">
        <f>SUM(H9*0.5)</f>
        <v>1083.3333333333335</v>
      </c>
    </row>
    <row r="10" spans="1:9" ht="15.6" x14ac:dyDescent="0.3">
      <c r="A10" s="25" t="s">
        <v>67</v>
      </c>
      <c r="B10" s="39">
        <v>8</v>
      </c>
      <c r="C10" s="42">
        <v>85000</v>
      </c>
      <c r="D10" s="39">
        <v>5</v>
      </c>
      <c r="E10" s="41">
        <v>0.2</v>
      </c>
      <c r="F10" s="42">
        <v>2000</v>
      </c>
      <c r="G10" s="42">
        <f>SUM(C10/D10)</f>
        <v>17000</v>
      </c>
      <c r="H10" s="43">
        <f>SUM(C10/D10)-F10</f>
        <v>15000</v>
      </c>
      <c r="I10" s="43">
        <f>SUM(H10*0.5)</f>
        <v>7500</v>
      </c>
    </row>
    <row r="11" spans="1:9" ht="16.2" thickBot="1" x14ac:dyDescent="0.35">
      <c r="A11" s="26" t="s">
        <v>68</v>
      </c>
      <c r="B11" s="45"/>
      <c r="C11" s="46">
        <f>SUM(C6:C10)</f>
        <v>1290000</v>
      </c>
      <c r="D11" s="45"/>
      <c r="E11" s="47">
        <f>SUM(E6:E10)</f>
        <v>1</v>
      </c>
      <c r="F11" s="46">
        <v>10000</v>
      </c>
      <c r="G11" s="46">
        <f>SUM(G6:G10)</f>
        <v>159146.46464646462</v>
      </c>
      <c r="H11" s="48">
        <f>SUM(H6:H10)</f>
        <v>149146.46464646462</v>
      </c>
      <c r="I11" s="48">
        <f>SUM(I6:I10)</f>
        <v>74573.232323232311</v>
      </c>
    </row>
    <row r="12" spans="1:9" ht="13.8" thickBot="1" x14ac:dyDescent="0.3">
      <c r="A12" s="15"/>
      <c r="B12" s="15"/>
      <c r="C12" s="15"/>
      <c r="D12" s="15"/>
      <c r="E12" s="15"/>
      <c r="F12" s="15"/>
      <c r="G12" s="15"/>
      <c r="H12" s="15"/>
      <c r="I12" s="15"/>
    </row>
    <row r="13" spans="1:9" ht="13.8" x14ac:dyDescent="0.25">
      <c r="A13" s="86" t="s">
        <v>69</v>
      </c>
      <c r="B13" s="87"/>
      <c r="C13" s="87"/>
      <c r="D13" s="88" t="s">
        <v>70</v>
      </c>
      <c r="E13" s="88"/>
      <c r="F13" s="88"/>
      <c r="G13" s="88"/>
      <c r="H13" s="27"/>
      <c r="I13" s="27"/>
    </row>
    <row r="14" spans="1:9" ht="42" customHeight="1" x14ac:dyDescent="0.25">
      <c r="A14" s="100" t="s">
        <v>83</v>
      </c>
      <c r="B14" s="96" t="s">
        <v>71</v>
      </c>
      <c r="C14" s="97"/>
      <c r="D14" s="89" t="s">
        <v>72</v>
      </c>
      <c r="E14" s="89"/>
      <c r="F14" s="28" t="s">
        <v>85</v>
      </c>
      <c r="G14" s="28" t="s">
        <v>86</v>
      </c>
      <c r="H14" s="15"/>
      <c r="I14" s="15"/>
    </row>
    <row r="15" spans="1:9" ht="15.6" x14ac:dyDescent="0.25">
      <c r="A15" s="101"/>
      <c r="B15" s="98">
        <f>SUM('2023'!I5)</f>
        <v>498.7650462962963</v>
      </c>
      <c r="C15" s="99"/>
      <c r="D15" s="49">
        <f>SUM(H11/144)/12</f>
        <v>86.311611485222571</v>
      </c>
      <c r="E15" s="49">
        <f>B15+D15</f>
        <v>585.07665778151886</v>
      </c>
      <c r="F15" s="49">
        <f>SUM(I11/144)/12</f>
        <v>43.155805742611285</v>
      </c>
      <c r="G15" s="49">
        <f>SUM(B15+F15)</f>
        <v>541.92085203890758</v>
      </c>
      <c r="H15" s="15"/>
      <c r="I15" s="15"/>
    </row>
    <row r="16" spans="1:9" x14ac:dyDescent="0.25">
      <c r="A16" s="15"/>
      <c r="B16" s="15"/>
    </row>
    <row r="17" spans="1:9" ht="4.2" customHeight="1" thickBot="1" x14ac:dyDescent="0.3">
      <c r="A17" s="15"/>
      <c r="B17" s="15"/>
      <c r="C17" s="15"/>
      <c r="D17" s="15"/>
      <c r="E17" s="15"/>
      <c r="F17" s="15"/>
      <c r="G17" s="15"/>
      <c r="H17" s="15"/>
      <c r="I17" s="15"/>
    </row>
    <row r="18" spans="1:9" x14ac:dyDescent="0.25">
      <c r="A18" s="90" t="s">
        <v>73</v>
      </c>
      <c r="B18" s="91"/>
      <c r="C18" s="91"/>
      <c r="D18" s="91"/>
      <c r="E18" s="91"/>
      <c r="F18" s="91"/>
      <c r="G18" s="91"/>
      <c r="H18" s="91"/>
      <c r="I18" s="92"/>
    </row>
    <row r="19" spans="1:9" ht="32.700000000000003" customHeight="1" thickBot="1" x14ac:dyDescent="0.3">
      <c r="A19" s="93"/>
      <c r="B19" s="94"/>
      <c r="C19" s="94"/>
      <c r="D19" s="94"/>
      <c r="E19" s="94"/>
      <c r="F19" s="94"/>
      <c r="G19" s="94"/>
      <c r="H19" s="94"/>
      <c r="I19" s="95"/>
    </row>
  </sheetData>
  <mergeCells count="8">
    <mergeCell ref="A1:H1"/>
    <mergeCell ref="A13:C13"/>
    <mergeCell ref="D13:G13"/>
    <mergeCell ref="D14:E14"/>
    <mergeCell ref="A18:I19"/>
    <mergeCell ref="B14:C14"/>
    <mergeCell ref="B15:C15"/>
    <mergeCell ref="A14:A15"/>
  </mergeCells>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79875-C54D-4FD0-865D-6F7FF7BCFA34}">
  <dimension ref="A1:K54"/>
  <sheetViews>
    <sheetView topLeftCell="A9" zoomScale="130" zoomScaleNormal="130" workbookViewId="0">
      <selection activeCell="F54" sqref="F54"/>
    </sheetView>
  </sheetViews>
  <sheetFormatPr defaultRowHeight="13.2" x14ac:dyDescent="0.25"/>
  <cols>
    <col min="1" max="1" width="33.77734375" customWidth="1"/>
    <col min="2" max="2" width="5.21875" hidden="1" customWidth="1"/>
    <col min="3" max="3" width="18.21875" style="5" hidden="1" customWidth="1"/>
    <col min="4" max="4" width="18.21875" style="5" customWidth="1"/>
    <col min="5" max="5" width="22.44140625" style="5" customWidth="1"/>
    <col min="6" max="6" width="18.77734375" style="5" customWidth="1"/>
    <col min="7" max="7" width="0.44140625" hidden="1" customWidth="1"/>
    <col min="9" max="9" width="9.21875" customWidth="1"/>
    <col min="10" max="10" width="9.77734375" bestFit="1" customWidth="1"/>
  </cols>
  <sheetData>
    <row r="1" spans="1:9" ht="35.700000000000003" customHeight="1" x14ac:dyDescent="0.25">
      <c r="A1" s="78" t="s">
        <v>89</v>
      </c>
      <c r="B1" s="78"/>
      <c r="C1" s="78"/>
      <c r="D1" s="78"/>
      <c r="E1" s="78"/>
      <c r="F1" s="78"/>
    </row>
    <row r="2" spans="1:9" ht="9.75" customHeight="1" x14ac:dyDescent="0.25">
      <c r="A2" s="79"/>
      <c r="B2" s="79"/>
      <c r="C2" s="79"/>
      <c r="D2" s="80" t="s">
        <v>45</v>
      </c>
      <c r="E2" s="1">
        <v>2022</v>
      </c>
      <c r="F2" s="1">
        <v>2023</v>
      </c>
    </row>
    <row r="3" spans="1:9" ht="9.75" customHeight="1" x14ac:dyDescent="0.25">
      <c r="A3" s="82" t="s">
        <v>43</v>
      </c>
      <c r="B3" s="83"/>
      <c r="C3" s="83"/>
      <c r="D3" s="81"/>
      <c r="E3" s="9" t="s">
        <v>76</v>
      </c>
      <c r="F3" s="9" t="s">
        <v>75</v>
      </c>
    </row>
    <row r="4" spans="1:9" ht="10.199999999999999" customHeight="1" x14ac:dyDescent="0.25">
      <c r="A4" s="84"/>
      <c r="B4" s="84"/>
      <c r="C4" s="84"/>
      <c r="D4" s="81"/>
      <c r="E4" s="9"/>
      <c r="F4" s="9" t="s">
        <v>0</v>
      </c>
    </row>
    <row r="5" spans="1:9" x14ac:dyDescent="0.2">
      <c r="A5" s="74" t="s">
        <v>42</v>
      </c>
      <c r="B5" s="77"/>
      <c r="C5" s="77"/>
      <c r="D5" s="29">
        <f>411*166*12</f>
        <v>818712</v>
      </c>
      <c r="E5" s="29">
        <f>411*166*12</f>
        <v>818712</v>
      </c>
      <c r="F5" s="29">
        <f>F54-F7-F6</f>
        <v>795866</v>
      </c>
      <c r="G5" s="7"/>
      <c r="I5" s="7">
        <f>F5/12/144</f>
        <v>460.5706018518519</v>
      </c>
    </row>
    <row r="6" spans="1:9" ht="9.75" customHeight="1" x14ac:dyDescent="0.25">
      <c r="A6" s="2" t="s">
        <v>46</v>
      </c>
      <c r="B6" s="2"/>
      <c r="C6" s="2"/>
      <c r="D6" s="30">
        <v>0</v>
      </c>
      <c r="E6" s="30">
        <v>0</v>
      </c>
      <c r="F6" s="30">
        <v>0</v>
      </c>
      <c r="G6" s="7"/>
    </row>
    <row r="7" spans="1:9" ht="9.75" customHeight="1" x14ac:dyDescent="0.25">
      <c r="A7" s="74" t="s">
        <v>28</v>
      </c>
      <c r="B7" s="75"/>
      <c r="C7" s="75"/>
      <c r="D7" s="30">
        <v>5670.36</v>
      </c>
      <c r="E7" s="30">
        <v>1700</v>
      </c>
      <c r="F7" s="30">
        <v>5000</v>
      </c>
      <c r="G7" s="7"/>
    </row>
    <row r="8" spans="1:9" ht="9.75" customHeight="1" x14ac:dyDescent="0.25">
      <c r="A8" s="74" t="s">
        <v>44</v>
      </c>
      <c r="B8" s="75"/>
      <c r="C8" s="75"/>
      <c r="D8" s="30">
        <f>356*166</f>
        <v>59096</v>
      </c>
      <c r="E8" s="30">
        <f>356*166</f>
        <v>59096</v>
      </c>
      <c r="F8" s="30">
        <v>0</v>
      </c>
      <c r="G8" s="7"/>
    </row>
    <row r="9" spans="1:9" ht="9.75" customHeight="1" x14ac:dyDescent="0.25">
      <c r="A9" s="74" t="s">
        <v>29</v>
      </c>
      <c r="B9" s="75"/>
      <c r="C9" s="75"/>
      <c r="D9" s="30">
        <v>0</v>
      </c>
      <c r="E9" s="30">
        <v>25</v>
      </c>
      <c r="F9" s="30">
        <v>0</v>
      </c>
      <c r="G9" s="7"/>
    </row>
    <row r="10" spans="1:9" ht="19.5" customHeight="1" x14ac:dyDescent="0.25">
      <c r="A10" s="71" t="s">
        <v>41</v>
      </c>
      <c r="B10" s="76"/>
      <c r="C10" s="76"/>
      <c r="D10" s="32">
        <f>SUM(D5:D9)</f>
        <v>883478.36</v>
      </c>
      <c r="E10" s="32">
        <f>SUM(E5:E9)</f>
        <v>879533</v>
      </c>
      <c r="F10" s="32">
        <f>SUM(F5:F9)</f>
        <v>800866</v>
      </c>
      <c r="G10" s="7"/>
    </row>
    <row r="11" spans="1:9" ht="21.75" customHeight="1" x14ac:dyDescent="0.25">
      <c r="A11" s="74" t="s">
        <v>30</v>
      </c>
      <c r="B11" s="77"/>
      <c r="C11" s="77"/>
      <c r="D11" s="33">
        <v>4500</v>
      </c>
      <c r="E11" s="33">
        <v>4500</v>
      </c>
      <c r="F11" s="33">
        <v>5000</v>
      </c>
      <c r="G11" s="7"/>
      <c r="I11">
        <f>48000/144</f>
        <v>333.33333333333331</v>
      </c>
    </row>
    <row r="12" spans="1:9" ht="9.75" customHeight="1" x14ac:dyDescent="0.25">
      <c r="A12" s="74" t="s">
        <v>31</v>
      </c>
      <c r="B12" s="75"/>
      <c r="C12" s="75"/>
      <c r="D12" s="30">
        <v>1000</v>
      </c>
      <c r="E12" s="30">
        <v>1000</v>
      </c>
      <c r="F12" s="30">
        <v>1000</v>
      </c>
      <c r="G12" s="7"/>
    </row>
    <row r="13" spans="1:9" ht="9.75" customHeight="1" x14ac:dyDescent="0.25">
      <c r="A13" s="74" t="s">
        <v>32</v>
      </c>
      <c r="B13" s="75"/>
      <c r="C13" s="75"/>
      <c r="D13" s="30">
        <v>576</v>
      </c>
      <c r="E13" s="30">
        <v>576</v>
      </c>
      <c r="F13" s="30">
        <v>576</v>
      </c>
      <c r="G13" s="7"/>
    </row>
    <row r="14" spans="1:9" ht="9.75" customHeight="1" x14ac:dyDescent="0.25">
      <c r="A14" s="74" t="s">
        <v>33</v>
      </c>
      <c r="B14" s="75"/>
      <c r="C14" s="75"/>
      <c r="D14" s="30">
        <v>8000</v>
      </c>
      <c r="E14" s="30">
        <v>26620.63</v>
      </c>
      <c r="F14" s="30">
        <v>8000</v>
      </c>
      <c r="G14" s="7"/>
    </row>
    <row r="15" spans="1:9" ht="9.75" customHeight="1" x14ac:dyDescent="0.25">
      <c r="A15" s="74" t="s">
        <v>34</v>
      </c>
      <c r="B15" s="75"/>
      <c r="C15" s="75"/>
      <c r="D15" s="30">
        <v>750</v>
      </c>
      <c r="E15" s="30">
        <v>1100</v>
      </c>
      <c r="F15" s="30">
        <v>750</v>
      </c>
      <c r="G15" s="7"/>
    </row>
    <row r="16" spans="1:9" ht="9.75" customHeight="1" x14ac:dyDescent="0.25">
      <c r="A16" s="74" t="s">
        <v>35</v>
      </c>
      <c r="B16" s="75"/>
      <c r="C16" s="75"/>
      <c r="D16" s="30">
        <v>1000</v>
      </c>
      <c r="E16" s="30">
        <v>1000</v>
      </c>
      <c r="F16" s="30">
        <v>1200</v>
      </c>
      <c r="G16" s="7"/>
    </row>
    <row r="17" spans="1:11" ht="9.75" customHeight="1" x14ac:dyDescent="0.25">
      <c r="A17" s="74" t="s">
        <v>36</v>
      </c>
      <c r="B17" s="75"/>
      <c r="C17" s="75"/>
      <c r="D17" s="30">
        <v>374000</v>
      </c>
      <c r="E17" s="30">
        <v>374000</v>
      </c>
      <c r="F17" s="30">
        <v>184000</v>
      </c>
      <c r="G17" s="7"/>
      <c r="I17">
        <f>100*6*144</f>
        <v>86400</v>
      </c>
      <c r="J17">
        <f>220+89</f>
        <v>309</v>
      </c>
    </row>
    <row r="18" spans="1:11" ht="9.75" customHeight="1" x14ac:dyDescent="0.25">
      <c r="A18" s="2" t="s">
        <v>90</v>
      </c>
      <c r="B18" s="2"/>
      <c r="C18" s="2"/>
      <c r="D18" s="30">
        <v>0</v>
      </c>
      <c r="E18" s="30">
        <v>0</v>
      </c>
      <c r="F18" s="30">
        <v>130000</v>
      </c>
      <c r="G18" s="7"/>
    </row>
    <row r="19" spans="1:11" ht="9.75" customHeight="1" x14ac:dyDescent="0.25">
      <c r="A19" s="2" t="s">
        <v>77</v>
      </c>
      <c r="B19" s="2"/>
      <c r="C19" s="2"/>
      <c r="D19" s="30">
        <v>0</v>
      </c>
      <c r="E19" s="30">
        <v>0</v>
      </c>
      <c r="F19" s="30">
        <v>48000</v>
      </c>
      <c r="G19" s="7"/>
      <c r="H19">
        <v>48000</v>
      </c>
    </row>
    <row r="20" spans="1:11" ht="9.75" customHeight="1" x14ac:dyDescent="0.25">
      <c r="A20" s="75" t="s">
        <v>87</v>
      </c>
      <c r="B20" s="75"/>
      <c r="C20" s="75"/>
      <c r="D20" s="30">
        <v>2000</v>
      </c>
      <c r="E20" s="30">
        <v>3300</v>
      </c>
      <c r="F20" s="30">
        <v>3300</v>
      </c>
      <c r="G20" s="7"/>
    </row>
    <row r="21" spans="1:11" ht="9.75" customHeight="1" x14ac:dyDescent="0.25">
      <c r="A21" s="74" t="s">
        <v>37</v>
      </c>
      <c r="B21" s="75"/>
      <c r="C21" s="75"/>
      <c r="D21" s="30">
        <v>2500</v>
      </c>
      <c r="E21" s="30">
        <v>10000</v>
      </c>
      <c r="F21" s="30">
        <v>2500</v>
      </c>
      <c r="G21" s="7"/>
      <c r="I21">
        <f>499-390</f>
        <v>109</v>
      </c>
    </row>
    <row r="22" spans="1:11" ht="9.75" customHeight="1" x14ac:dyDescent="0.25">
      <c r="A22" s="74" t="s">
        <v>38</v>
      </c>
      <c r="B22" s="75"/>
      <c r="C22" s="75"/>
      <c r="D22" s="30">
        <v>2892</v>
      </c>
      <c r="E22" s="30">
        <v>1000</v>
      </c>
      <c r="F22" s="30">
        <v>1000</v>
      </c>
      <c r="G22" s="7"/>
      <c r="I22">
        <f>109*144*6</f>
        <v>94176</v>
      </c>
    </row>
    <row r="23" spans="1:11" ht="10.199999999999999" customHeight="1" x14ac:dyDescent="0.25">
      <c r="A23" s="69" t="s">
        <v>39</v>
      </c>
      <c r="B23" s="70"/>
      <c r="C23" s="70"/>
      <c r="D23" s="31">
        <v>153787.32</v>
      </c>
      <c r="E23" s="31">
        <f>13000*12</f>
        <v>156000</v>
      </c>
      <c r="F23" s="31">
        <v>156000</v>
      </c>
      <c r="G23" s="7"/>
    </row>
    <row r="24" spans="1:11" ht="9.75" customHeight="1" x14ac:dyDescent="0.25">
      <c r="A24" s="71" t="s">
        <v>40</v>
      </c>
      <c r="B24" s="72"/>
      <c r="C24" s="72"/>
      <c r="D24" s="34">
        <f>SUM(D11:D23)</f>
        <v>551005.32000000007</v>
      </c>
      <c r="E24" s="34">
        <f>SUM(E11:E23)</f>
        <v>579096.63</v>
      </c>
      <c r="F24" s="34">
        <f>SUM(F11:F23)</f>
        <v>541326</v>
      </c>
      <c r="G24" s="7"/>
      <c r="I24">
        <f>120000/12/144</f>
        <v>69.444444444444443</v>
      </c>
      <c r="K24">
        <f>499*6*144</f>
        <v>431136</v>
      </c>
    </row>
    <row r="25" spans="1:11" ht="9.75" customHeight="1" x14ac:dyDescent="0.25">
      <c r="A25" s="3" t="s">
        <v>1</v>
      </c>
      <c r="B25" s="66"/>
      <c r="C25" s="66"/>
      <c r="D25" s="35"/>
      <c r="E25" s="35"/>
      <c r="F25" s="35"/>
      <c r="G25" s="13"/>
      <c r="K25">
        <f>400*144*6</f>
        <v>345600</v>
      </c>
    </row>
    <row r="26" spans="1:11" ht="9.75" customHeight="1" x14ac:dyDescent="0.25">
      <c r="A26" s="2" t="s">
        <v>2</v>
      </c>
      <c r="B26" s="73"/>
      <c r="C26" s="73"/>
      <c r="D26" s="30">
        <v>19733</v>
      </c>
      <c r="E26" s="30">
        <v>170000</v>
      </c>
      <c r="F26" s="30">
        <f>5000*12</f>
        <v>60000</v>
      </c>
      <c r="G26" s="12"/>
      <c r="K26">
        <f>K24+K25</f>
        <v>776736</v>
      </c>
    </row>
    <row r="27" spans="1:11" ht="9.75" customHeight="1" x14ac:dyDescent="0.25">
      <c r="A27" s="2" t="s">
        <v>3</v>
      </c>
      <c r="B27" s="65"/>
      <c r="C27" s="65"/>
      <c r="D27" s="30">
        <v>128114.9</v>
      </c>
      <c r="E27" s="30">
        <v>70000</v>
      </c>
      <c r="F27" s="30">
        <v>0</v>
      </c>
      <c r="G27" s="12"/>
    </row>
    <row r="28" spans="1:11" ht="9.75" customHeight="1" x14ac:dyDescent="0.25">
      <c r="A28" s="2" t="s">
        <v>79</v>
      </c>
      <c r="B28" s="14"/>
      <c r="C28" s="14"/>
      <c r="D28" s="30">
        <v>0</v>
      </c>
      <c r="E28" s="30">
        <f>1600*12</f>
        <v>19200</v>
      </c>
      <c r="F28" s="30">
        <v>19200</v>
      </c>
      <c r="G28" s="12"/>
    </row>
    <row r="29" spans="1:11" ht="9.75" customHeight="1" x14ac:dyDescent="0.25">
      <c r="A29" s="2" t="s">
        <v>80</v>
      </c>
      <c r="B29" s="14"/>
      <c r="C29" s="14"/>
      <c r="D29" s="30">
        <v>0</v>
      </c>
      <c r="E29" s="30">
        <f>300*15</f>
        <v>4500</v>
      </c>
      <c r="F29" s="30">
        <v>5000</v>
      </c>
      <c r="G29" s="12"/>
    </row>
    <row r="30" spans="1:11" ht="10.199999999999999" customHeight="1" x14ac:dyDescent="0.25">
      <c r="A30" s="2" t="s">
        <v>4</v>
      </c>
      <c r="B30" s="53"/>
      <c r="C30" s="53"/>
      <c r="D30" s="31">
        <v>10800</v>
      </c>
      <c r="E30" s="31">
        <v>5500</v>
      </c>
      <c r="F30" s="31">
        <v>0</v>
      </c>
      <c r="G30" s="10"/>
    </row>
    <row r="31" spans="1:11" ht="9.75" customHeight="1" x14ac:dyDescent="0.25">
      <c r="A31" s="3" t="s">
        <v>5</v>
      </c>
      <c r="B31" s="68"/>
      <c r="C31" s="68"/>
      <c r="D31" s="34">
        <f>SUM(D26:D30)</f>
        <v>158647.9</v>
      </c>
      <c r="E31" s="34">
        <f>SUM(E26:E30)</f>
        <v>269200</v>
      </c>
      <c r="F31" s="34">
        <f>SUM(F26:F30)</f>
        <v>84200</v>
      </c>
      <c r="G31" s="11"/>
    </row>
    <row r="32" spans="1:11" ht="9.75" customHeight="1" x14ac:dyDescent="0.25">
      <c r="A32" s="3" t="s">
        <v>6</v>
      </c>
      <c r="B32" s="66"/>
      <c r="C32" s="66"/>
      <c r="D32" s="35"/>
      <c r="E32" s="35"/>
      <c r="F32" s="35"/>
      <c r="G32" s="13"/>
    </row>
    <row r="33" spans="1:10" ht="9.75" customHeight="1" x14ac:dyDescent="0.25">
      <c r="A33" s="2" t="s">
        <v>7</v>
      </c>
      <c r="B33" s="65"/>
      <c r="C33" s="65"/>
      <c r="D33" s="30">
        <v>18000</v>
      </c>
      <c r="E33" s="30">
        <v>16000</v>
      </c>
      <c r="F33" s="30">
        <f>1600*12</f>
        <v>19200</v>
      </c>
      <c r="G33" s="12"/>
    </row>
    <row r="34" spans="1:10" ht="9.75" customHeight="1" x14ac:dyDescent="0.25">
      <c r="A34" s="2" t="s">
        <v>8</v>
      </c>
      <c r="B34" s="67"/>
      <c r="C34" s="67"/>
      <c r="D34" s="30">
        <v>4500</v>
      </c>
      <c r="E34" s="30">
        <v>0</v>
      </c>
      <c r="F34" s="30">
        <v>0</v>
      </c>
      <c r="G34" s="12"/>
      <c r="I34" s="7"/>
    </row>
    <row r="35" spans="1:10" ht="9.75" customHeight="1" x14ac:dyDescent="0.25">
      <c r="A35" s="2" t="s">
        <v>9</v>
      </c>
      <c r="B35" s="65"/>
      <c r="C35" s="65"/>
      <c r="D35" s="30">
        <v>17000</v>
      </c>
      <c r="E35" s="30">
        <v>13200</v>
      </c>
      <c r="F35" s="30">
        <v>15000</v>
      </c>
      <c r="G35" s="12"/>
    </row>
    <row r="36" spans="1:10" ht="10.199999999999999" customHeight="1" x14ac:dyDescent="0.25">
      <c r="A36" s="2" t="s">
        <v>10</v>
      </c>
      <c r="B36" s="65"/>
      <c r="C36" s="65"/>
      <c r="D36" s="30">
        <v>6000</v>
      </c>
      <c r="E36" s="30">
        <v>9840</v>
      </c>
      <c r="F36" s="30">
        <v>10000</v>
      </c>
      <c r="G36" s="12"/>
    </row>
    <row r="37" spans="1:10" ht="9.75" customHeight="1" x14ac:dyDescent="0.25">
      <c r="A37" s="2" t="s">
        <v>11</v>
      </c>
      <c r="B37" s="65"/>
      <c r="C37" s="65"/>
      <c r="D37" s="30">
        <v>3000</v>
      </c>
      <c r="E37" s="30">
        <v>7810</v>
      </c>
      <c r="F37" s="30">
        <v>2000</v>
      </c>
      <c r="G37" s="12"/>
    </row>
    <row r="38" spans="1:10" ht="10.199999999999999" customHeight="1" x14ac:dyDescent="0.25">
      <c r="A38" s="2" t="s">
        <v>12</v>
      </c>
      <c r="B38" s="53"/>
      <c r="C38" s="53"/>
      <c r="D38" s="31">
        <v>4200</v>
      </c>
      <c r="E38" s="31">
        <v>10200</v>
      </c>
      <c r="F38" s="31">
        <f>350*12</f>
        <v>4200</v>
      </c>
      <c r="G38" s="10"/>
    </row>
    <row r="39" spans="1:10" ht="9.75" customHeight="1" x14ac:dyDescent="0.25">
      <c r="A39" s="3" t="s">
        <v>13</v>
      </c>
      <c r="B39" s="54"/>
      <c r="C39" s="54"/>
      <c r="D39" s="34">
        <f>SUM(D33:D38)</f>
        <v>52700</v>
      </c>
      <c r="E39" s="34">
        <f>SUM(E33:E38)</f>
        <v>57050</v>
      </c>
      <c r="F39" s="34">
        <f>SUM(F33:F38)</f>
        <v>50400</v>
      </c>
      <c r="G39" s="11"/>
      <c r="J39" s="7">
        <f>99*144*6</f>
        <v>85536</v>
      </c>
    </row>
    <row r="40" spans="1:10" ht="9.75" customHeight="1" x14ac:dyDescent="0.25">
      <c r="A40" s="3" t="s">
        <v>14</v>
      </c>
      <c r="B40" s="66"/>
      <c r="C40" s="66"/>
      <c r="D40" s="35"/>
      <c r="E40" s="35"/>
      <c r="F40" s="35"/>
      <c r="G40" s="13"/>
    </row>
    <row r="41" spans="1:10" ht="9.75" customHeight="1" x14ac:dyDescent="0.25">
      <c r="A41" s="2" t="s">
        <v>15</v>
      </c>
      <c r="B41" s="65"/>
      <c r="C41" s="65"/>
      <c r="D41" s="30">
        <v>10000</v>
      </c>
      <c r="E41" s="30">
        <v>0</v>
      </c>
      <c r="F41" s="30">
        <v>5500</v>
      </c>
      <c r="G41" s="12"/>
    </row>
    <row r="42" spans="1:10" ht="9.75" customHeight="1" x14ac:dyDescent="0.25">
      <c r="A42" s="2" t="s">
        <v>16</v>
      </c>
      <c r="B42" s="65"/>
      <c r="C42" s="65"/>
      <c r="D42" s="30">
        <v>23400</v>
      </c>
      <c r="E42" s="30">
        <v>28800</v>
      </c>
      <c r="F42" s="30">
        <v>28000</v>
      </c>
      <c r="G42" s="12"/>
    </row>
    <row r="43" spans="1:10" ht="9.75" customHeight="1" x14ac:dyDescent="0.25">
      <c r="A43" s="2" t="s">
        <v>17</v>
      </c>
      <c r="B43" s="65"/>
      <c r="C43" s="65"/>
      <c r="D43" s="30">
        <v>2000</v>
      </c>
      <c r="E43" s="30">
        <v>2700</v>
      </c>
      <c r="F43" s="30">
        <v>3500</v>
      </c>
      <c r="G43" s="12"/>
    </row>
    <row r="44" spans="1:10" ht="9.75" customHeight="1" x14ac:dyDescent="0.25">
      <c r="A44" s="2" t="s">
        <v>18</v>
      </c>
      <c r="B44" s="65"/>
      <c r="C44" s="65"/>
      <c r="D44" s="30">
        <v>3000</v>
      </c>
      <c r="E44" s="30">
        <v>0</v>
      </c>
      <c r="F44" s="30">
        <v>4000</v>
      </c>
      <c r="G44" s="12"/>
    </row>
    <row r="45" spans="1:10" ht="9.75" customHeight="1" x14ac:dyDescent="0.25">
      <c r="A45" s="2" t="s">
        <v>19</v>
      </c>
      <c r="B45" s="65"/>
      <c r="C45" s="65"/>
      <c r="D45" s="30">
        <v>3000</v>
      </c>
      <c r="E45" s="30">
        <v>5028</v>
      </c>
      <c r="F45" s="30">
        <v>4000</v>
      </c>
      <c r="G45" s="12"/>
    </row>
    <row r="46" spans="1:10" ht="10.199999999999999" customHeight="1" x14ac:dyDescent="0.25">
      <c r="A46" s="2" t="s">
        <v>20</v>
      </c>
      <c r="B46" s="53"/>
      <c r="C46" s="53"/>
      <c r="D46" s="31">
        <v>3000</v>
      </c>
      <c r="E46" s="31">
        <v>2550</v>
      </c>
      <c r="F46" s="31">
        <v>1500</v>
      </c>
      <c r="G46" s="10"/>
    </row>
    <row r="47" spans="1:10" ht="9.75" customHeight="1" x14ac:dyDescent="0.25">
      <c r="A47" s="3" t="s">
        <v>21</v>
      </c>
      <c r="B47" s="54"/>
      <c r="C47" s="54"/>
      <c r="D47" s="34">
        <f>SUM(D41:D46)</f>
        <v>44400</v>
      </c>
      <c r="E47" s="34">
        <f>SUM(E41:E46)</f>
        <v>39078</v>
      </c>
      <c r="F47" s="34">
        <f>SUM(F41:F46)</f>
        <v>46500</v>
      </c>
      <c r="G47" s="11"/>
    </row>
    <row r="48" spans="1:10" ht="9.75" customHeight="1" x14ac:dyDescent="0.25">
      <c r="A48" s="3" t="s">
        <v>22</v>
      </c>
      <c r="B48" s="6"/>
      <c r="C48" s="6"/>
      <c r="D48" s="35"/>
      <c r="E48" s="35"/>
      <c r="F48" s="35"/>
      <c r="G48" s="8"/>
    </row>
    <row r="49" spans="1:7" ht="9.75" customHeight="1" x14ac:dyDescent="0.25">
      <c r="A49" s="2" t="s">
        <v>23</v>
      </c>
      <c r="B49" s="65"/>
      <c r="C49" s="65"/>
      <c r="D49" s="30">
        <v>15000</v>
      </c>
      <c r="E49" s="30">
        <v>16128</v>
      </c>
      <c r="F49" s="30">
        <v>17000</v>
      </c>
      <c r="G49" s="12"/>
    </row>
    <row r="50" spans="1:7" ht="9.75" customHeight="1" x14ac:dyDescent="0.25">
      <c r="A50" s="2" t="s">
        <v>24</v>
      </c>
      <c r="B50" s="65"/>
      <c r="C50" s="65"/>
      <c r="D50" s="30">
        <v>50000</v>
      </c>
      <c r="E50" s="30">
        <v>58800</v>
      </c>
      <c r="F50" s="30">
        <v>60000</v>
      </c>
      <c r="G50" s="12"/>
    </row>
    <row r="51" spans="1:7" ht="9.75" customHeight="1" x14ac:dyDescent="0.25">
      <c r="A51" s="2" t="s">
        <v>78</v>
      </c>
      <c r="B51" s="14"/>
      <c r="C51" s="14"/>
      <c r="D51" s="30"/>
      <c r="E51" s="30">
        <f>120*12</f>
        <v>1440</v>
      </c>
      <c r="F51" s="30">
        <v>1440</v>
      </c>
      <c r="G51" s="12"/>
    </row>
    <row r="52" spans="1:7" ht="10.5" customHeight="1" x14ac:dyDescent="0.25">
      <c r="A52" s="2" t="s">
        <v>25</v>
      </c>
      <c r="B52" s="53"/>
      <c r="C52" s="53"/>
      <c r="D52" s="31">
        <v>1400</v>
      </c>
      <c r="E52" s="31">
        <v>200</v>
      </c>
      <c r="F52" s="31">
        <v>0</v>
      </c>
      <c r="G52" s="10"/>
    </row>
    <row r="53" spans="1:7" ht="9.75" customHeight="1" x14ac:dyDescent="0.25">
      <c r="A53" s="3" t="s">
        <v>26</v>
      </c>
      <c r="B53" s="54"/>
      <c r="C53" s="54"/>
      <c r="D53" s="34">
        <f>SUM(D49+D50)+F52+H3</f>
        <v>65000</v>
      </c>
      <c r="E53" s="34">
        <f>SUM(E49:E52)</f>
        <v>76568</v>
      </c>
      <c r="F53" s="34">
        <f>SUM(F49:F52)</f>
        <v>78440</v>
      </c>
      <c r="G53" s="11"/>
    </row>
    <row r="54" spans="1:7" ht="18" customHeight="1" x14ac:dyDescent="0.25">
      <c r="A54" s="55" t="s">
        <v>27</v>
      </c>
      <c r="B54" s="55"/>
      <c r="C54" s="4">
        <v>671824.96</v>
      </c>
      <c r="D54" s="36">
        <f>SUM(D24+D31+D39+D47+D53)</f>
        <v>871753.22000000009</v>
      </c>
      <c r="E54" s="37">
        <f>SUM(E53+E47+E39+E31+E24)</f>
        <v>1020992.63</v>
      </c>
      <c r="F54" s="36">
        <f>SUM(F24+F31+F39+F47+F53)</f>
        <v>800866</v>
      </c>
      <c r="G54" s="7"/>
    </row>
  </sheetData>
  <mergeCells count="48">
    <mergeCell ref="A54:B54"/>
    <mergeCell ref="B47:C47"/>
    <mergeCell ref="B49:C49"/>
    <mergeCell ref="B50:C50"/>
    <mergeCell ref="B52:C52"/>
    <mergeCell ref="B53:C53"/>
    <mergeCell ref="B46:C46"/>
    <mergeCell ref="B35:C35"/>
    <mergeCell ref="B36:C36"/>
    <mergeCell ref="B37:C37"/>
    <mergeCell ref="B38:C38"/>
    <mergeCell ref="B39:C39"/>
    <mergeCell ref="B40:C40"/>
    <mergeCell ref="B41:C41"/>
    <mergeCell ref="B42:C42"/>
    <mergeCell ref="B43:C43"/>
    <mergeCell ref="B44:C44"/>
    <mergeCell ref="B45:C45"/>
    <mergeCell ref="B34:C34"/>
    <mergeCell ref="A21:C21"/>
    <mergeCell ref="A22:C22"/>
    <mergeCell ref="A23:C23"/>
    <mergeCell ref="A24:C24"/>
    <mergeCell ref="B25:C25"/>
    <mergeCell ref="B26:C26"/>
    <mergeCell ref="B27:C27"/>
    <mergeCell ref="B30:C30"/>
    <mergeCell ref="B31:C31"/>
    <mergeCell ref="B32:C32"/>
    <mergeCell ref="B33:C33"/>
    <mergeCell ref="A20:C20"/>
    <mergeCell ref="A7:C7"/>
    <mergeCell ref="A8:C8"/>
    <mergeCell ref="A9:C9"/>
    <mergeCell ref="A10:C10"/>
    <mergeCell ref="A11:C11"/>
    <mergeCell ref="A12:C12"/>
    <mergeCell ref="A13:C13"/>
    <mergeCell ref="A14:C14"/>
    <mergeCell ref="A15:C15"/>
    <mergeCell ref="A16:C16"/>
    <mergeCell ref="A17:C17"/>
    <mergeCell ref="A5:C5"/>
    <mergeCell ref="A1:F1"/>
    <mergeCell ref="A2:C2"/>
    <mergeCell ref="D2:D4"/>
    <mergeCell ref="A3:C3"/>
    <mergeCell ref="A4:C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BAB7F-5B02-487D-9B81-E23E8E067ACD}">
  <dimension ref="A1:K56"/>
  <sheetViews>
    <sheetView topLeftCell="A21" zoomScale="130" zoomScaleNormal="130" workbookViewId="0">
      <selection activeCell="K32" sqref="K32"/>
    </sheetView>
  </sheetViews>
  <sheetFormatPr defaultRowHeight="13.2" x14ac:dyDescent="0.25"/>
  <cols>
    <col min="1" max="1" width="33.77734375" customWidth="1"/>
    <col min="2" max="2" width="5.21875" hidden="1" customWidth="1"/>
    <col min="3" max="3" width="18.21875" style="5" hidden="1" customWidth="1"/>
    <col min="4" max="4" width="18.21875" style="5" customWidth="1"/>
    <col min="5" max="5" width="22.44140625" style="5" customWidth="1"/>
    <col min="6" max="6" width="18.77734375" style="5" customWidth="1"/>
    <col min="7" max="7" width="0.44140625" hidden="1" customWidth="1"/>
  </cols>
  <sheetData>
    <row r="1" spans="1:7" ht="35.700000000000003" customHeight="1" x14ac:dyDescent="0.25">
      <c r="A1" s="78" t="s">
        <v>96</v>
      </c>
      <c r="B1" s="78"/>
      <c r="C1" s="78"/>
      <c r="D1" s="78"/>
      <c r="E1" s="78"/>
      <c r="F1" s="78"/>
    </row>
    <row r="2" spans="1:7" ht="9.75" customHeight="1" x14ac:dyDescent="0.25">
      <c r="A2" s="79"/>
      <c r="B2" s="79"/>
      <c r="C2" s="79"/>
      <c r="D2" s="80" t="s">
        <v>91</v>
      </c>
      <c r="E2" s="1">
        <v>2023</v>
      </c>
      <c r="F2" s="1">
        <v>2024</v>
      </c>
    </row>
    <row r="3" spans="1:7" ht="9.75" customHeight="1" x14ac:dyDescent="0.25">
      <c r="A3" s="82" t="s">
        <v>43</v>
      </c>
      <c r="B3" s="83"/>
      <c r="C3" s="83"/>
      <c r="D3" s="81"/>
      <c r="E3" s="9" t="s">
        <v>76</v>
      </c>
      <c r="F3" s="9" t="s">
        <v>75</v>
      </c>
    </row>
    <row r="4" spans="1:7" ht="10.199999999999999" customHeight="1" x14ac:dyDescent="0.25">
      <c r="A4" s="84"/>
      <c r="B4" s="84"/>
      <c r="C4" s="84"/>
      <c r="D4" s="81"/>
      <c r="E4" s="9"/>
      <c r="F4" s="9" t="s">
        <v>0</v>
      </c>
    </row>
    <row r="5" spans="1:7" x14ac:dyDescent="0.2">
      <c r="A5" s="74" t="s">
        <v>42</v>
      </c>
      <c r="B5" s="77"/>
      <c r="C5" s="77"/>
      <c r="D5" s="29">
        <v>795866</v>
      </c>
      <c r="E5" s="29">
        <v>776736</v>
      </c>
      <c r="F5" s="29">
        <f>F53-F7</f>
        <v>722966</v>
      </c>
      <c r="G5" s="7"/>
    </row>
    <row r="6" spans="1:7" ht="9.75" customHeight="1" x14ac:dyDescent="0.25">
      <c r="A6" s="2" t="s">
        <v>46</v>
      </c>
      <c r="B6" s="2"/>
      <c r="C6" s="2"/>
      <c r="D6" s="30">
        <v>0</v>
      </c>
      <c r="E6" s="30">
        <v>0</v>
      </c>
      <c r="F6" s="30">
        <v>0</v>
      </c>
      <c r="G6" s="7"/>
    </row>
    <row r="7" spans="1:7" ht="9.75" customHeight="1" x14ac:dyDescent="0.25">
      <c r="A7" s="74" t="s">
        <v>28</v>
      </c>
      <c r="B7" s="75"/>
      <c r="C7" s="75"/>
      <c r="D7" s="30">
        <v>5000</v>
      </c>
      <c r="E7" s="30">
        <v>5800</v>
      </c>
      <c r="F7" s="30">
        <v>5800</v>
      </c>
      <c r="G7" s="7"/>
    </row>
    <row r="8" spans="1:7" ht="9.75" customHeight="1" x14ac:dyDescent="0.25">
      <c r="A8" s="74" t="s">
        <v>44</v>
      </c>
      <c r="B8" s="75"/>
      <c r="C8" s="75"/>
      <c r="D8" s="30">
        <v>0</v>
      </c>
      <c r="E8" s="30">
        <v>0</v>
      </c>
      <c r="F8" s="30">
        <v>0</v>
      </c>
      <c r="G8" s="7"/>
    </row>
    <row r="9" spans="1:7" ht="9.75" customHeight="1" x14ac:dyDescent="0.25">
      <c r="A9" s="74" t="s">
        <v>29</v>
      </c>
      <c r="B9" s="75"/>
      <c r="C9" s="75"/>
      <c r="D9" s="30">
        <v>0</v>
      </c>
      <c r="E9" s="30">
        <v>130</v>
      </c>
      <c r="F9" s="30">
        <v>100</v>
      </c>
      <c r="G9" s="7"/>
    </row>
    <row r="10" spans="1:7" ht="19.5" customHeight="1" x14ac:dyDescent="0.25">
      <c r="A10" s="71" t="s">
        <v>41</v>
      </c>
      <c r="B10" s="76"/>
      <c r="C10" s="76"/>
      <c r="D10" s="32">
        <f>SUM(D5:D9)</f>
        <v>800866</v>
      </c>
      <c r="E10" s="32">
        <f>SUM(E5:E9)</f>
        <v>782666</v>
      </c>
      <c r="F10" s="32">
        <f>SUM(F5:F9)</f>
        <v>728866</v>
      </c>
      <c r="G10" s="7"/>
    </row>
    <row r="11" spans="1:7" ht="21.75" customHeight="1" x14ac:dyDescent="0.25">
      <c r="A11" s="74" t="s">
        <v>30</v>
      </c>
      <c r="B11" s="77"/>
      <c r="C11" s="77"/>
      <c r="D11" s="33">
        <v>5000</v>
      </c>
      <c r="E11" s="33">
        <v>5000</v>
      </c>
      <c r="F11" s="33">
        <v>5000</v>
      </c>
      <c r="G11" s="7"/>
    </row>
    <row r="12" spans="1:7" ht="9.75" customHeight="1" x14ac:dyDescent="0.25">
      <c r="A12" s="74" t="s">
        <v>31</v>
      </c>
      <c r="B12" s="75"/>
      <c r="C12" s="75"/>
      <c r="D12" s="30">
        <v>1000</v>
      </c>
      <c r="E12" s="30">
        <v>1000</v>
      </c>
      <c r="F12" s="30">
        <v>1100</v>
      </c>
      <c r="G12" s="7"/>
    </row>
    <row r="13" spans="1:7" ht="9.75" customHeight="1" x14ac:dyDescent="0.25">
      <c r="A13" s="74" t="s">
        <v>32</v>
      </c>
      <c r="B13" s="75"/>
      <c r="C13" s="75"/>
      <c r="D13" s="30">
        <v>576</v>
      </c>
      <c r="E13" s="30">
        <v>576</v>
      </c>
      <c r="F13" s="30">
        <v>576</v>
      </c>
      <c r="G13" s="7"/>
    </row>
    <row r="14" spans="1:7" ht="9.75" customHeight="1" x14ac:dyDescent="0.25">
      <c r="A14" s="74" t="s">
        <v>33</v>
      </c>
      <c r="B14" s="75"/>
      <c r="C14" s="75"/>
      <c r="D14" s="30">
        <v>8000</v>
      </c>
      <c r="E14" s="30">
        <v>16000</v>
      </c>
      <c r="F14" s="30">
        <v>8000</v>
      </c>
      <c r="G14" s="7"/>
    </row>
    <row r="15" spans="1:7" ht="9.75" customHeight="1" x14ac:dyDescent="0.25">
      <c r="A15" s="74" t="s">
        <v>34</v>
      </c>
      <c r="B15" s="75"/>
      <c r="C15" s="75"/>
      <c r="D15" s="30">
        <v>750</v>
      </c>
      <c r="E15" s="30">
        <v>1400</v>
      </c>
      <c r="F15" s="30">
        <v>850</v>
      </c>
      <c r="G15" s="7"/>
    </row>
    <row r="16" spans="1:7" ht="9.75" customHeight="1" x14ac:dyDescent="0.25">
      <c r="A16" s="74" t="s">
        <v>35</v>
      </c>
      <c r="B16" s="75"/>
      <c r="C16" s="75"/>
      <c r="D16" s="30">
        <v>1200</v>
      </c>
      <c r="E16" s="30">
        <v>1400</v>
      </c>
      <c r="F16" s="30">
        <v>1200</v>
      </c>
      <c r="G16" s="7"/>
    </row>
    <row r="17" spans="1:9" ht="9.75" customHeight="1" x14ac:dyDescent="0.25">
      <c r="A17" s="74" t="s">
        <v>36</v>
      </c>
      <c r="B17" s="75"/>
      <c r="C17" s="75"/>
      <c r="D17" s="30">
        <v>263000</v>
      </c>
      <c r="E17" s="30">
        <v>263000</v>
      </c>
      <c r="F17" s="30">
        <v>290000</v>
      </c>
      <c r="G17" s="7"/>
      <c r="H17">
        <f>290000/144/12</f>
        <v>167.82407407407408</v>
      </c>
      <c r="I17" t="s">
        <v>99</v>
      </c>
    </row>
    <row r="18" spans="1:9" ht="9.75" customHeight="1" x14ac:dyDescent="0.25">
      <c r="A18" s="2" t="s">
        <v>77</v>
      </c>
      <c r="B18" s="2"/>
      <c r="C18" s="2"/>
      <c r="D18" s="30">
        <v>48000</v>
      </c>
      <c r="E18" s="30">
        <v>48000</v>
      </c>
      <c r="F18" s="30">
        <v>0</v>
      </c>
      <c r="G18" s="7"/>
    </row>
    <row r="19" spans="1:9" ht="9.75" customHeight="1" x14ac:dyDescent="0.25">
      <c r="A19" s="75" t="s">
        <v>87</v>
      </c>
      <c r="B19" s="75"/>
      <c r="C19" s="75"/>
      <c r="D19" s="30">
        <v>3300</v>
      </c>
      <c r="E19" s="30">
        <v>3300</v>
      </c>
      <c r="F19" s="30">
        <v>3300</v>
      </c>
      <c r="G19" s="7"/>
    </row>
    <row r="20" spans="1:9" ht="9.75" customHeight="1" x14ac:dyDescent="0.25">
      <c r="A20" s="74" t="s">
        <v>37</v>
      </c>
      <c r="B20" s="75"/>
      <c r="C20" s="75"/>
      <c r="D20" s="30">
        <v>2500</v>
      </c>
      <c r="E20" s="30">
        <v>2500</v>
      </c>
      <c r="F20" s="30">
        <v>2500</v>
      </c>
      <c r="G20" s="7"/>
    </row>
    <row r="21" spans="1:9" ht="9.75" customHeight="1" x14ac:dyDescent="0.25">
      <c r="A21" s="74" t="s">
        <v>38</v>
      </c>
      <c r="B21" s="75"/>
      <c r="C21" s="75"/>
      <c r="D21" s="30">
        <v>1000</v>
      </c>
      <c r="E21" s="30">
        <v>1000</v>
      </c>
      <c r="F21" s="30">
        <v>1000</v>
      </c>
      <c r="G21" s="7"/>
    </row>
    <row r="22" spans="1:9" ht="10.199999999999999" customHeight="1" x14ac:dyDescent="0.25">
      <c r="A22" s="69" t="s">
        <v>39</v>
      </c>
      <c r="B22" s="70"/>
      <c r="C22" s="70"/>
      <c r="D22" s="31">
        <v>156000</v>
      </c>
      <c r="E22" s="31">
        <v>152000</v>
      </c>
      <c r="F22" s="31">
        <v>154000</v>
      </c>
      <c r="G22" s="7"/>
    </row>
    <row r="23" spans="1:9" ht="9.75" customHeight="1" x14ac:dyDescent="0.25">
      <c r="A23" s="71" t="s">
        <v>40</v>
      </c>
      <c r="B23" s="72"/>
      <c r="C23" s="72"/>
      <c r="D23" s="34">
        <f>SUM(D11:D22)</f>
        <v>490326</v>
      </c>
      <c r="E23" s="34">
        <f>SUM(E11:E22)</f>
        <v>495176</v>
      </c>
      <c r="F23" s="34">
        <f>SUM(F11:F22)</f>
        <v>467526</v>
      </c>
      <c r="G23" s="7"/>
    </row>
    <row r="24" spans="1:9" ht="9.75" customHeight="1" x14ac:dyDescent="0.25">
      <c r="A24" s="3" t="s">
        <v>1</v>
      </c>
      <c r="B24" s="66"/>
      <c r="C24" s="66"/>
      <c r="D24" s="35"/>
      <c r="E24" s="35"/>
      <c r="F24" s="35"/>
      <c r="G24" s="13"/>
    </row>
    <row r="25" spans="1:9" ht="9.75" customHeight="1" x14ac:dyDescent="0.25">
      <c r="A25" s="2" t="s">
        <v>2</v>
      </c>
      <c r="B25" s="73"/>
      <c r="C25" s="73"/>
      <c r="D25" s="30">
        <f>5000*12</f>
        <v>60000</v>
      </c>
      <c r="E25" s="30">
        <v>60000</v>
      </c>
      <c r="F25" s="30">
        <f>5000*12</f>
        <v>60000</v>
      </c>
      <c r="G25" s="12"/>
    </row>
    <row r="26" spans="1:9" ht="9.75" customHeight="1" x14ac:dyDescent="0.25">
      <c r="A26" s="2" t="s">
        <v>79</v>
      </c>
      <c r="B26" s="14"/>
      <c r="C26" s="14"/>
      <c r="D26" s="30">
        <v>19200</v>
      </c>
      <c r="E26" s="30">
        <v>22000</v>
      </c>
      <c r="F26" s="30">
        <v>21600</v>
      </c>
      <c r="G26" s="12"/>
    </row>
    <row r="27" spans="1:9" ht="9.75" customHeight="1" x14ac:dyDescent="0.25">
      <c r="A27" s="2" t="s">
        <v>80</v>
      </c>
      <c r="B27" s="14"/>
      <c r="C27" s="14"/>
      <c r="D27" s="30">
        <v>5000</v>
      </c>
      <c r="E27" s="30">
        <f>300*15</f>
        <v>4500</v>
      </c>
      <c r="F27" s="30">
        <v>4500</v>
      </c>
      <c r="G27" s="12"/>
    </row>
    <row r="28" spans="1:9" ht="10.199999999999999" customHeight="1" x14ac:dyDescent="0.25">
      <c r="A28" s="2" t="s">
        <v>4</v>
      </c>
      <c r="B28" s="53"/>
      <c r="C28" s="53"/>
      <c r="D28" s="31">
        <v>0</v>
      </c>
      <c r="E28" s="31">
        <v>0</v>
      </c>
      <c r="F28" s="31">
        <v>0</v>
      </c>
      <c r="G28" s="10"/>
    </row>
    <row r="29" spans="1:9" ht="9.75" customHeight="1" x14ac:dyDescent="0.25">
      <c r="A29" s="3" t="s">
        <v>5</v>
      </c>
      <c r="B29" s="68"/>
      <c r="C29" s="68"/>
      <c r="D29" s="34">
        <f>SUM(D25:D28)</f>
        <v>84200</v>
      </c>
      <c r="E29" s="34">
        <f>SUM(E25:E28)</f>
        <v>86500</v>
      </c>
      <c r="F29" s="34">
        <f>SUM(F25:F28)</f>
        <v>86100</v>
      </c>
      <c r="G29" s="11"/>
    </row>
    <row r="30" spans="1:9" ht="9.75" customHeight="1" x14ac:dyDescent="0.25">
      <c r="A30" s="3" t="s">
        <v>6</v>
      </c>
      <c r="B30" s="66"/>
      <c r="C30" s="66"/>
      <c r="D30" s="35"/>
      <c r="E30" s="35"/>
      <c r="F30" s="35"/>
      <c r="G30" s="13"/>
    </row>
    <row r="31" spans="1:9" ht="9.75" customHeight="1" x14ac:dyDescent="0.25">
      <c r="A31" s="2" t="s">
        <v>7</v>
      </c>
      <c r="B31" s="65"/>
      <c r="C31" s="65"/>
      <c r="D31" s="30">
        <f>1600*12</f>
        <v>19200</v>
      </c>
      <c r="E31" s="30">
        <v>19000</v>
      </c>
      <c r="F31" s="30">
        <f>1600*12</f>
        <v>19200</v>
      </c>
      <c r="G31" s="12"/>
    </row>
    <row r="32" spans="1:9" ht="9.75" customHeight="1" x14ac:dyDescent="0.25">
      <c r="A32" s="2" t="s">
        <v>8</v>
      </c>
      <c r="B32" s="67"/>
      <c r="C32" s="67"/>
      <c r="D32" s="30">
        <v>0</v>
      </c>
      <c r="E32" s="30">
        <v>0</v>
      </c>
      <c r="F32" s="30">
        <v>4500</v>
      </c>
      <c r="G32" s="12"/>
    </row>
    <row r="33" spans="1:11" ht="9.75" customHeight="1" x14ac:dyDescent="0.25">
      <c r="A33" s="2" t="s">
        <v>9</v>
      </c>
      <c r="B33" s="65"/>
      <c r="C33" s="65"/>
      <c r="D33" s="30">
        <v>15000</v>
      </c>
      <c r="E33" s="30">
        <v>15000</v>
      </c>
      <c r="F33" s="30">
        <v>15000</v>
      </c>
      <c r="G33" s="12"/>
    </row>
    <row r="34" spans="1:11" ht="10.199999999999999" customHeight="1" x14ac:dyDescent="0.25">
      <c r="A34" s="2" t="s">
        <v>10</v>
      </c>
      <c r="B34" s="65"/>
      <c r="C34" s="65"/>
      <c r="D34" s="30">
        <v>10000</v>
      </c>
      <c r="E34" s="30">
        <v>5300</v>
      </c>
      <c r="F34" s="30">
        <v>6000</v>
      </c>
      <c r="G34" s="12"/>
    </row>
    <row r="35" spans="1:11" ht="9.75" customHeight="1" x14ac:dyDescent="0.25">
      <c r="A35" s="2" t="s">
        <v>11</v>
      </c>
      <c r="B35" s="65"/>
      <c r="C35" s="65"/>
      <c r="D35" s="30">
        <v>2000</v>
      </c>
      <c r="E35" s="30">
        <v>5000</v>
      </c>
      <c r="F35" s="30">
        <v>4600</v>
      </c>
      <c r="G35" s="12"/>
    </row>
    <row r="36" spans="1:11" ht="10.199999999999999" customHeight="1" x14ac:dyDescent="0.25">
      <c r="A36" s="2" t="s">
        <v>12</v>
      </c>
      <c r="B36" s="53"/>
      <c r="C36" s="53"/>
      <c r="D36" s="31">
        <f>350*12</f>
        <v>4200</v>
      </c>
      <c r="E36" s="31">
        <v>10000</v>
      </c>
      <c r="F36" s="31">
        <v>9500</v>
      </c>
      <c r="G36" s="10"/>
    </row>
    <row r="37" spans="1:11" ht="9.75" customHeight="1" x14ac:dyDescent="0.25">
      <c r="A37" s="3" t="s">
        <v>13</v>
      </c>
      <c r="B37" s="54"/>
      <c r="C37" s="54"/>
      <c r="D37" s="34">
        <f>SUM(D31:D36)</f>
        <v>50400</v>
      </c>
      <c r="E37" s="34">
        <f>SUM(E31:E36)</f>
        <v>54300</v>
      </c>
      <c r="F37" s="34">
        <f>SUM(F31:F36)</f>
        <v>58800</v>
      </c>
      <c r="G37" s="11"/>
    </row>
    <row r="38" spans="1:11" ht="9.75" customHeight="1" x14ac:dyDescent="0.25">
      <c r="A38" s="3" t="s">
        <v>14</v>
      </c>
      <c r="B38" s="66"/>
      <c r="C38" s="66"/>
      <c r="D38" s="35"/>
      <c r="E38" s="35"/>
      <c r="F38" s="35"/>
      <c r="G38" s="13"/>
    </row>
    <row r="39" spans="1:11" ht="9.75" customHeight="1" x14ac:dyDescent="0.25">
      <c r="A39" s="2" t="s">
        <v>15</v>
      </c>
      <c r="B39" s="65"/>
      <c r="C39" s="65"/>
      <c r="D39" s="30">
        <v>5500</v>
      </c>
      <c r="E39" s="30">
        <v>0</v>
      </c>
      <c r="F39" s="30">
        <v>5000</v>
      </c>
      <c r="G39" s="12"/>
    </row>
    <row r="40" spans="1:11" ht="9.75" customHeight="1" x14ac:dyDescent="0.25">
      <c r="A40" s="2" t="s">
        <v>16</v>
      </c>
      <c r="B40" s="65"/>
      <c r="C40" s="65"/>
      <c r="D40" s="30">
        <v>28000</v>
      </c>
      <c r="E40" s="30">
        <v>35000</v>
      </c>
      <c r="F40" s="30">
        <v>16000</v>
      </c>
      <c r="G40" s="12"/>
    </row>
    <row r="41" spans="1:11" ht="9.75" customHeight="1" x14ac:dyDescent="0.25">
      <c r="A41" s="2" t="s">
        <v>17</v>
      </c>
      <c r="B41" s="65"/>
      <c r="C41" s="65"/>
      <c r="D41" s="30">
        <v>3500</v>
      </c>
      <c r="E41" s="30">
        <v>5000</v>
      </c>
      <c r="F41" s="30">
        <v>3500</v>
      </c>
      <c r="G41" s="12"/>
      <c r="K41" s="7"/>
    </row>
    <row r="42" spans="1:11" ht="9.75" customHeight="1" x14ac:dyDescent="0.25">
      <c r="A42" s="2" t="s">
        <v>18</v>
      </c>
      <c r="B42" s="65"/>
      <c r="C42" s="65"/>
      <c r="D42" s="30">
        <v>4000</v>
      </c>
      <c r="E42" s="30">
        <v>0</v>
      </c>
      <c r="F42" s="30">
        <v>0</v>
      </c>
      <c r="G42" s="12"/>
    </row>
    <row r="43" spans="1:11" ht="9.75" customHeight="1" x14ac:dyDescent="0.25">
      <c r="A43" s="2" t="s">
        <v>19</v>
      </c>
      <c r="B43" s="65"/>
      <c r="C43" s="65"/>
      <c r="D43" s="30">
        <v>4000</v>
      </c>
      <c r="E43" s="30">
        <v>5028</v>
      </c>
      <c r="F43" s="30">
        <v>1500</v>
      </c>
      <c r="G43" s="12"/>
    </row>
    <row r="44" spans="1:11" ht="10.199999999999999" customHeight="1" x14ac:dyDescent="0.25">
      <c r="A44" s="2" t="s">
        <v>20</v>
      </c>
      <c r="B44" s="53"/>
      <c r="C44" s="53"/>
      <c r="D44" s="50">
        <v>1500</v>
      </c>
      <c r="E44" s="50">
        <v>2550</v>
      </c>
      <c r="F44" s="50">
        <v>1000</v>
      </c>
      <c r="G44" s="10"/>
    </row>
    <row r="45" spans="1:11" ht="10.199999999999999" customHeight="1" x14ac:dyDescent="0.25">
      <c r="A45" s="2" t="s">
        <v>92</v>
      </c>
      <c r="B45" s="14"/>
      <c r="C45" s="14"/>
      <c r="D45" s="30">
        <v>0</v>
      </c>
      <c r="E45" s="30">
        <v>2150</v>
      </c>
      <c r="F45" s="30">
        <v>2000</v>
      </c>
      <c r="G45" s="12"/>
    </row>
    <row r="46" spans="1:11" ht="10.199999999999999" customHeight="1" x14ac:dyDescent="0.25">
      <c r="A46" s="2" t="s">
        <v>93</v>
      </c>
      <c r="B46" s="14"/>
      <c r="C46" s="14"/>
      <c r="D46" s="30">
        <v>0</v>
      </c>
      <c r="E46" s="30">
        <v>7200</v>
      </c>
      <c r="F46" s="30">
        <v>5000</v>
      </c>
      <c r="G46" s="12"/>
    </row>
    <row r="47" spans="1:11" ht="9.75" customHeight="1" x14ac:dyDescent="0.25">
      <c r="A47" s="3" t="s">
        <v>21</v>
      </c>
      <c r="B47" s="54"/>
      <c r="C47" s="54"/>
      <c r="D47" s="34">
        <f>SUM(D39:D46)</f>
        <v>46500</v>
      </c>
      <c r="E47" s="34">
        <f>SUM(E39:E46)</f>
        <v>56928</v>
      </c>
      <c r="F47" s="34">
        <f>SUM(F39:F44)</f>
        <v>27000</v>
      </c>
      <c r="G47" s="11"/>
    </row>
    <row r="48" spans="1:11" ht="9.75" customHeight="1" x14ac:dyDescent="0.25">
      <c r="A48" s="3" t="s">
        <v>22</v>
      </c>
      <c r="B48" s="6"/>
      <c r="C48" s="6"/>
      <c r="D48" s="35"/>
      <c r="E48" s="35"/>
      <c r="F48" s="35"/>
      <c r="G48" s="8"/>
    </row>
    <row r="49" spans="1:7" ht="9.75" customHeight="1" x14ac:dyDescent="0.25">
      <c r="A49" s="2" t="s">
        <v>23</v>
      </c>
      <c r="B49" s="65"/>
      <c r="C49" s="65"/>
      <c r="D49" s="30">
        <v>17000</v>
      </c>
      <c r="E49" s="30">
        <v>21000</v>
      </c>
      <c r="F49" s="30">
        <v>19900</v>
      </c>
      <c r="G49" s="12"/>
    </row>
    <row r="50" spans="1:7" ht="9.75" customHeight="1" x14ac:dyDescent="0.25">
      <c r="A50" s="2" t="s">
        <v>24</v>
      </c>
      <c r="B50" s="65"/>
      <c r="C50" s="65"/>
      <c r="D50" s="30">
        <v>60000</v>
      </c>
      <c r="E50" s="30">
        <v>64000</v>
      </c>
      <c r="F50" s="30">
        <v>68000</v>
      </c>
      <c r="G50" s="12"/>
    </row>
    <row r="51" spans="1:7" ht="9.75" customHeight="1" x14ac:dyDescent="0.25">
      <c r="A51" s="2" t="s">
        <v>78</v>
      </c>
      <c r="B51" s="14"/>
      <c r="C51" s="14"/>
      <c r="D51" s="30">
        <v>1440</v>
      </c>
      <c r="E51" s="30">
        <v>2100</v>
      </c>
      <c r="F51" s="30">
        <v>1440</v>
      </c>
      <c r="G51" s="12"/>
    </row>
    <row r="52" spans="1:7" ht="9.75" customHeight="1" x14ac:dyDescent="0.25">
      <c r="A52" s="3" t="s">
        <v>26</v>
      </c>
      <c r="B52" s="54"/>
      <c r="C52" s="54"/>
      <c r="D52" s="34">
        <f>SUM(D49:D51)</f>
        <v>78440</v>
      </c>
      <c r="E52" s="34">
        <f>SUM(E49:E51)</f>
        <v>87100</v>
      </c>
      <c r="F52" s="34">
        <f>SUM(F49:F51)</f>
        <v>89340</v>
      </c>
      <c r="G52" s="11"/>
    </row>
    <row r="53" spans="1:7" ht="18" customHeight="1" x14ac:dyDescent="0.25">
      <c r="A53" s="55" t="s">
        <v>27</v>
      </c>
      <c r="B53" s="55"/>
      <c r="C53" s="4">
        <v>671824.96</v>
      </c>
      <c r="D53" s="36">
        <f>SUM(D23+D29+D37+D47+D52)</f>
        <v>749866</v>
      </c>
      <c r="E53" s="36">
        <f>SUM(E23+E29+E37+E47+E52)</f>
        <v>780004</v>
      </c>
      <c r="F53" s="36">
        <f>SUM(F23+F29+F37+F47+F52)</f>
        <v>728766</v>
      </c>
      <c r="G53" s="7"/>
    </row>
    <row r="54" spans="1:7" ht="13.8" thickBot="1" x14ac:dyDescent="0.3"/>
    <row r="55" spans="1:7" x14ac:dyDescent="0.25">
      <c r="A55" s="102" t="s">
        <v>94</v>
      </c>
      <c r="B55" s="103"/>
      <c r="C55" s="103"/>
      <c r="D55" s="103"/>
      <c r="E55" s="103"/>
      <c r="F55" s="106">
        <f>F5/144/12</f>
        <v>418.3831018518519</v>
      </c>
    </row>
    <row r="56" spans="1:7" ht="13.8" thickBot="1" x14ac:dyDescent="0.3">
      <c r="A56" s="104"/>
      <c r="B56" s="105"/>
      <c r="C56" s="105"/>
      <c r="D56" s="105"/>
      <c r="E56" s="105"/>
      <c r="F56" s="107"/>
    </row>
  </sheetData>
  <mergeCells count="48">
    <mergeCell ref="A55:E56"/>
    <mergeCell ref="F55:F56"/>
    <mergeCell ref="A12:C12"/>
    <mergeCell ref="A1:F1"/>
    <mergeCell ref="A2:C2"/>
    <mergeCell ref="D2:D4"/>
    <mergeCell ref="A3:C3"/>
    <mergeCell ref="A4:C4"/>
    <mergeCell ref="A5:C5"/>
    <mergeCell ref="A7:C7"/>
    <mergeCell ref="A8:C8"/>
    <mergeCell ref="A9:C9"/>
    <mergeCell ref="A10:C10"/>
    <mergeCell ref="A11:C11"/>
    <mergeCell ref="B25:C25"/>
    <mergeCell ref="A13:C13"/>
    <mergeCell ref="A14:C14"/>
    <mergeCell ref="A15:C15"/>
    <mergeCell ref="A16:C16"/>
    <mergeCell ref="A17:C17"/>
    <mergeCell ref="A19:C19"/>
    <mergeCell ref="A20:C20"/>
    <mergeCell ref="A21:C21"/>
    <mergeCell ref="A22:C22"/>
    <mergeCell ref="A23:C23"/>
    <mergeCell ref="B24:C24"/>
    <mergeCell ref="B38:C38"/>
    <mergeCell ref="B28:C28"/>
    <mergeCell ref="B29:C29"/>
    <mergeCell ref="B30:C30"/>
    <mergeCell ref="B31:C31"/>
    <mergeCell ref="B32:C32"/>
    <mergeCell ref="B33:C33"/>
    <mergeCell ref="B34:C34"/>
    <mergeCell ref="B35:C35"/>
    <mergeCell ref="B36:C36"/>
    <mergeCell ref="B37:C37"/>
    <mergeCell ref="A53:B53"/>
    <mergeCell ref="B39:C39"/>
    <mergeCell ref="B40:C40"/>
    <mergeCell ref="B41:C41"/>
    <mergeCell ref="B42:C42"/>
    <mergeCell ref="B43:C43"/>
    <mergeCell ref="B44:C44"/>
    <mergeCell ref="B47:C47"/>
    <mergeCell ref="B49:C49"/>
    <mergeCell ref="B50:C50"/>
    <mergeCell ref="B52:C5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7A960-8D3E-4CF6-9240-62344BF865FC}">
  <dimension ref="A1:I19"/>
  <sheetViews>
    <sheetView tabSelected="1" zoomScaleNormal="100" workbookViewId="0">
      <selection activeCell="J13" sqref="J13"/>
    </sheetView>
  </sheetViews>
  <sheetFormatPr defaultRowHeight="13.2" x14ac:dyDescent="0.25"/>
  <cols>
    <col min="1" max="1" width="12.6640625" bestFit="1" customWidth="1"/>
    <col min="2" max="2" width="12.77734375" bestFit="1" customWidth="1"/>
    <col min="3" max="3" width="19.21875" customWidth="1"/>
    <col min="4" max="4" width="18.44140625" bestFit="1" customWidth="1"/>
    <col min="5" max="5" width="14.77734375" bestFit="1" customWidth="1"/>
    <col min="6" max="6" width="15.21875" customWidth="1"/>
    <col min="7" max="7" width="16" customWidth="1"/>
    <col min="8" max="8" width="18.21875" bestFit="1" customWidth="1"/>
    <col min="9" max="9" width="23.44140625" bestFit="1" customWidth="1"/>
  </cols>
  <sheetData>
    <row r="1" spans="1:9" ht="22.8" x14ac:dyDescent="0.4">
      <c r="A1" s="85" t="s">
        <v>101</v>
      </c>
      <c r="B1" s="85"/>
      <c r="C1" s="85"/>
      <c r="D1" s="85"/>
      <c r="E1" s="85"/>
      <c r="F1" s="85"/>
      <c r="G1" s="85"/>
      <c r="H1" s="85"/>
      <c r="I1" s="15"/>
    </row>
    <row r="2" spans="1:9" ht="13.8" thickBot="1" x14ac:dyDescent="0.3">
      <c r="A2" s="15"/>
      <c r="B2" s="15"/>
      <c r="C2" s="15"/>
      <c r="D2" s="15"/>
      <c r="E2" s="15"/>
      <c r="F2" s="15"/>
      <c r="G2" s="15"/>
      <c r="H2" s="15"/>
      <c r="I2" s="15"/>
    </row>
    <row r="3" spans="1:9" ht="13.8" x14ac:dyDescent="0.25">
      <c r="A3" s="16" t="s">
        <v>48</v>
      </c>
      <c r="B3" s="17" t="s">
        <v>49</v>
      </c>
      <c r="C3" s="17" t="s">
        <v>49</v>
      </c>
      <c r="D3" s="17" t="s">
        <v>50</v>
      </c>
      <c r="E3" s="18" t="s">
        <v>51</v>
      </c>
      <c r="F3" s="17" t="s">
        <v>52</v>
      </c>
      <c r="G3" s="17" t="s">
        <v>53</v>
      </c>
      <c r="H3" s="19" t="s">
        <v>54</v>
      </c>
      <c r="I3" s="19" t="s">
        <v>54</v>
      </c>
    </row>
    <row r="4" spans="1:9" ht="13.8" x14ac:dyDescent="0.25">
      <c r="A4" s="20"/>
      <c r="B4" s="21" t="s">
        <v>55</v>
      </c>
      <c r="C4" s="21" t="s">
        <v>56</v>
      </c>
      <c r="D4" s="21" t="s">
        <v>57</v>
      </c>
      <c r="E4" s="22" t="s">
        <v>58</v>
      </c>
      <c r="F4" s="21" t="s">
        <v>59</v>
      </c>
      <c r="G4" s="21" t="s">
        <v>54</v>
      </c>
      <c r="H4" s="23" t="s">
        <v>95</v>
      </c>
      <c r="I4" s="23" t="s">
        <v>97</v>
      </c>
    </row>
    <row r="5" spans="1:9" ht="13.8" x14ac:dyDescent="0.25">
      <c r="A5" s="20"/>
      <c r="B5" s="21"/>
      <c r="C5" s="21"/>
      <c r="D5" s="21"/>
      <c r="E5" s="22" t="s">
        <v>61</v>
      </c>
      <c r="F5" s="24">
        <v>45291</v>
      </c>
      <c r="G5" s="21" t="s">
        <v>62</v>
      </c>
      <c r="H5" s="23" t="s">
        <v>63</v>
      </c>
      <c r="I5" s="23" t="s">
        <v>64</v>
      </c>
    </row>
    <row r="6" spans="1:9" ht="15.6" x14ac:dyDescent="0.3">
      <c r="A6" s="25" t="s">
        <v>65</v>
      </c>
      <c r="B6" s="39">
        <v>25</v>
      </c>
      <c r="C6" s="40">
        <v>750000</v>
      </c>
      <c r="D6" s="39">
        <v>21</v>
      </c>
      <c r="E6" s="41">
        <v>0.2</v>
      </c>
      <c r="F6" s="42">
        <f>F11*0.2</f>
        <v>2000</v>
      </c>
      <c r="G6" s="42">
        <f>SUM(C6/D6)</f>
        <v>35714.285714285717</v>
      </c>
      <c r="H6" s="43">
        <f>SUM(C6/D6)-F6</f>
        <v>33714.285714285717</v>
      </c>
      <c r="I6" s="44">
        <f>SUM(H6*0.1)</f>
        <v>3371.428571428572</v>
      </c>
    </row>
    <row r="7" spans="1:9" ht="15.6" x14ac:dyDescent="0.3">
      <c r="A7" s="25" t="s">
        <v>66</v>
      </c>
      <c r="B7" s="39">
        <v>15</v>
      </c>
      <c r="C7" s="42">
        <v>180000</v>
      </c>
      <c r="D7" s="39">
        <v>1</v>
      </c>
      <c r="E7" s="41">
        <v>0.2</v>
      </c>
      <c r="F7" s="42">
        <v>2000</v>
      </c>
      <c r="G7" s="42">
        <f>SUM(C7/D7)</f>
        <v>180000</v>
      </c>
      <c r="H7" s="43">
        <f>SUM(C7/D7)-F7</f>
        <v>178000</v>
      </c>
      <c r="I7" s="43">
        <f>SUM(H7*0.1)</f>
        <v>17800</v>
      </c>
    </row>
    <row r="8" spans="1:9" ht="15.6" x14ac:dyDescent="0.3">
      <c r="A8" s="25" t="s">
        <v>82</v>
      </c>
      <c r="B8" s="39">
        <v>20</v>
      </c>
      <c r="C8" s="42">
        <v>250000</v>
      </c>
      <c r="D8" s="39">
        <v>17</v>
      </c>
      <c r="E8" s="41">
        <v>0.2</v>
      </c>
      <c r="F8" s="42">
        <v>2000</v>
      </c>
      <c r="G8" s="42">
        <f>C8/18</f>
        <v>13888.888888888889</v>
      </c>
      <c r="H8" s="43">
        <f>SUM(G8-F8)</f>
        <v>11888.888888888889</v>
      </c>
      <c r="I8" s="43">
        <f>SUM(H8*0.1)</f>
        <v>1188.8888888888889</v>
      </c>
    </row>
    <row r="9" spans="1:9" ht="15.6" x14ac:dyDescent="0.3">
      <c r="A9" s="25" t="s">
        <v>74</v>
      </c>
      <c r="B9" s="39">
        <v>12</v>
      </c>
      <c r="C9" s="42">
        <v>25000</v>
      </c>
      <c r="D9" s="39">
        <v>6</v>
      </c>
      <c r="E9" s="41">
        <v>0.2</v>
      </c>
      <c r="F9" s="42">
        <v>2000</v>
      </c>
      <c r="G9" s="42">
        <f>SUM(C9/D9)</f>
        <v>4166.666666666667</v>
      </c>
      <c r="H9" s="43">
        <f>SUM(C9/D9)-F9</f>
        <v>2166.666666666667</v>
      </c>
      <c r="I9" s="43">
        <f>SUM(H9*0.1)</f>
        <v>216.66666666666671</v>
      </c>
    </row>
    <row r="10" spans="1:9" ht="15.6" x14ac:dyDescent="0.3">
      <c r="A10" s="25" t="s">
        <v>67</v>
      </c>
      <c r="B10" s="39">
        <v>8</v>
      </c>
      <c r="C10" s="42">
        <v>85000</v>
      </c>
      <c r="D10" s="39">
        <v>7</v>
      </c>
      <c r="E10" s="41">
        <v>0.2</v>
      </c>
      <c r="F10" s="42">
        <v>2000</v>
      </c>
      <c r="G10" s="42">
        <f>SUM(C10/D10)</f>
        <v>12142.857142857143</v>
      </c>
      <c r="H10" s="43">
        <f>SUM(C10/D10)-F10</f>
        <v>10142.857142857143</v>
      </c>
      <c r="I10" s="43">
        <f>SUM(H10*0.5)</f>
        <v>5071.4285714285716</v>
      </c>
    </row>
    <row r="11" spans="1:9" ht="16.2" thickBot="1" x14ac:dyDescent="0.35">
      <c r="A11" s="26" t="s">
        <v>68</v>
      </c>
      <c r="B11" s="45"/>
      <c r="C11" s="46">
        <f>SUM(C6:C10)</f>
        <v>1290000</v>
      </c>
      <c r="D11" s="45"/>
      <c r="E11" s="47">
        <f>SUM(E6:E10)</f>
        <v>1</v>
      </c>
      <c r="F11" s="46">
        <v>10000</v>
      </c>
      <c r="G11" s="46">
        <f>SUM(G6:G10)</f>
        <v>245912.69841269837</v>
      </c>
      <c r="H11" s="48">
        <f>SUM(H6:H10)</f>
        <v>235912.69841269837</v>
      </c>
      <c r="I11" s="48">
        <f>SUM(I6:I10)</f>
        <v>27648.412698412703</v>
      </c>
    </row>
    <row r="12" spans="1:9" ht="13.8" thickBot="1" x14ac:dyDescent="0.3">
      <c r="A12" s="15"/>
      <c r="B12" s="15"/>
      <c r="C12" s="15"/>
      <c r="D12" s="15"/>
      <c r="E12" s="15"/>
      <c r="F12" s="15"/>
      <c r="G12" s="15"/>
      <c r="H12" s="15"/>
      <c r="I12" s="15"/>
    </row>
    <row r="13" spans="1:9" ht="13.8" x14ac:dyDescent="0.25">
      <c r="A13" s="86" t="s">
        <v>69</v>
      </c>
      <c r="B13" s="87"/>
      <c r="C13" s="87"/>
      <c r="D13" s="88" t="s">
        <v>70</v>
      </c>
      <c r="E13" s="88"/>
      <c r="F13" s="88"/>
      <c r="G13" s="88"/>
      <c r="H13" s="27"/>
      <c r="I13" s="27"/>
    </row>
    <row r="14" spans="1:9" ht="42" customHeight="1" x14ac:dyDescent="0.25">
      <c r="A14" s="100" t="s">
        <v>83</v>
      </c>
      <c r="B14" s="96" t="s">
        <v>71</v>
      </c>
      <c r="C14" s="97"/>
      <c r="D14" s="89" t="s">
        <v>72</v>
      </c>
      <c r="E14" s="89"/>
      <c r="F14" s="51" t="s">
        <v>98</v>
      </c>
      <c r="G14" s="51" t="s">
        <v>100</v>
      </c>
      <c r="H14" s="15"/>
      <c r="I14" s="15"/>
    </row>
    <row r="15" spans="1:9" ht="15.6" x14ac:dyDescent="0.25">
      <c r="A15" s="101"/>
      <c r="B15" s="98">
        <f>SUM('2024 budget'!F55:F56)</f>
        <v>418.3831018518519</v>
      </c>
      <c r="C15" s="99"/>
      <c r="D15" s="49">
        <f>SUM(H11/144)/12</f>
        <v>136.5235523221634</v>
      </c>
      <c r="E15" s="49">
        <f>B15+D15</f>
        <v>554.90665417401533</v>
      </c>
      <c r="F15" s="52">
        <f>SUM(I11/144)/12</f>
        <v>16.000238830099942</v>
      </c>
      <c r="G15" s="52">
        <f>SUM(B15+F15)</f>
        <v>434.38334068195184</v>
      </c>
      <c r="H15" s="15"/>
      <c r="I15" s="15"/>
    </row>
    <row r="16" spans="1:9" x14ac:dyDescent="0.25">
      <c r="A16" s="15"/>
      <c r="B16" s="15"/>
    </row>
    <row r="17" spans="1:9" ht="4.2" customHeight="1" thickBot="1" x14ac:dyDescent="0.3">
      <c r="A17" s="15"/>
      <c r="B17" s="15"/>
      <c r="C17" s="15"/>
      <c r="D17" s="15"/>
      <c r="E17" s="15"/>
      <c r="F17" s="15"/>
      <c r="G17" s="15"/>
      <c r="H17" s="15"/>
      <c r="I17" s="15"/>
    </row>
    <row r="18" spans="1:9" x14ac:dyDescent="0.25">
      <c r="A18" s="90" t="s">
        <v>73</v>
      </c>
      <c r="B18" s="91"/>
      <c r="C18" s="91"/>
      <c r="D18" s="91"/>
      <c r="E18" s="91"/>
      <c r="F18" s="91"/>
      <c r="G18" s="91"/>
      <c r="H18" s="91"/>
      <c r="I18" s="92"/>
    </row>
    <row r="19" spans="1:9" ht="32.700000000000003" customHeight="1" thickBot="1" x14ac:dyDescent="0.3">
      <c r="A19" s="93"/>
      <c r="B19" s="94"/>
      <c r="C19" s="94"/>
      <c r="D19" s="94"/>
      <c r="E19" s="94"/>
      <c r="F19" s="94"/>
      <c r="G19" s="94"/>
      <c r="H19" s="94"/>
      <c r="I19" s="95"/>
    </row>
  </sheetData>
  <mergeCells count="8">
    <mergeCell ref="A18:I19"/>
    <mergeCell ref="A1:H1"/>
    <mergeCell ref="A13:C13"/>
    <mergeCell ref="D13:G13"/>
    <mergeCell ref="A14:A15"/>
    <mergeCell ref="B14:C14"/>
    <mergeCell ref="D14:E14"/>
    <mergeCell ref="B15:C15"/>
  </mergeCells>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2023</vt:lpstr>
      <vt:lpstr>Reserves 2023</vt:lpstr>
      <vt:lpstr>2023 adjusted</vt:lpstr>
      <vt:lpstr>2024 budget</vt:lpstr>
      <vt:lpstr>Reserves 2024</vt:lpstr>
      <vt:lpstr>'2023'!Print_Area</vt:lpstr>
      <vt:lpstr>'2023 adjusted'!Print_Area</vt:lpstr>
      <vt:lpstr>'2024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Garry A. Porter Jr.</dc:creator>
  <cp:lastModifiedBy>jamie blum</cp:lastModifiedBy>
  <cp:lastPrinted>2023-06-22T18:21:48Z</cp:lastPrinted>
  <dcterms:created xsi:type="dcterms:W3CDTF">2022-09-14T23:37:18Z</dcterms:created>
  <dcterms:modified xsi:type="dcterms:W3CDTF">2024-10-13T12:29:15Z</dcterms:modified>
</cp:coreProperties>
</file>