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5E4FC1C7-050B-4797-99F9-888FA88077F4}" xr6:coauthVersionLast="47" xr6:coauthVersionMax="47" xr10:uidLastSave="{00000000-0000-0000-0000-000000000000}"/>
  <bookViews>
    <workbookView xWindow="-108" yWindow="-108" windowWidth="23256" windowHeight="13896" firstSheet="14" activeTab="16" xr2:uid="{00000000-000D-0000-FFFF-FFFF00000000}"/>
  </bookViews>
  <sheets>
    <sheet name="loan 2" sheetId="17" r:id="rId1"/>
    <sheet name="budget 2019" sheetId="1" r:id="rId2"/>
    <sheet name="reserves 2019" sheetId="2" r:id="rId3"/>
    <sheet name="assessment 2020" sheetId="5" r:id="rId4"/>
    <sheet name="budget 2020" sheetId="3" r:id="rId5"/>
    <sheet name="reserves 2020" sheetId="4" r:id="rId6"/>
    <sheet name="reserves as of 52020" sheetId="6" r:id="rId7"/>
    <sheet name="budget 2021" sheetId="8" r:id="rId8"/>
    <sheet name="reserves 2021" sheetId="7" r:id="rId9"/>
    <sheet name="budget 2022" sheetId="11" r:id="rId10"/>
    <sheet name="reserves 2022" sheetId="12" r:id="rId11"/>
    <sheet name="2022 assessment" sheetId="15" r:id="rId12"/>
    <sheet name="reserves 2022 (2)" sheetId="16" r:id="rId13"/>
    <sheet name="assessment 2022 loan" sheetId="18" r:id="rId14"/>
    <sheet name="budget 2024" sheetId="19" r:id="rId15"/>
    <sheet name="reserves 2024" sheetId="21" r:id="rId16"/>
    <sheet name="reserves 2024 (2)" sheetId="22" r:id="rId17"/>
  </sheets>
  <definedNames>
    <definedName name="_xlnm.Print_Area" localSheetId="11">'2022 assessment'!$A$1:$E$7</definedName>
    <definedName name="_xlnm.Print_Area" localSheetId="3">'assessment 2020'!$A$1:$G$9</definedName>
    <definedName name="_xlnm.Print_Area" localSheetId="13">'assessment 2022 loan'!$A$1:$G$9</definedName>
    <definedName name="_xlnm.Print_Area" localSheetId="1">'budget 2019'!$A$1:$E$46</definedName>
    <definedName name="_xlnm.Print_Area" localSheetId="4">'budget 2020'!$A$1:$H$46</definedName>
    <definedName name="_xlnm.Print_Area" localSheetId="7">'budget 2021'!$A$1:$F$51</definedName>
    <definedName name="_xlnm.Print_Area" localSheetId="9">'budget 2022'!$A$1:$F$51</definedName>
    <definedName name="_xlnm.Print_Area" localSheetId="14">'budget 2024'!$A$1:$F$55</definedName>
    <definedName name="_xlnm.Print_Area" localSheetId="0">'loan 2'!$A$1:$E$7</definedName>
    <definedName name="_xlnm.Print_Area" localSheetId="2">'reserves 2019'!$A$1:$J$21</definedName>
    <definedName name="_xlnm.Print_Area" localSheetId="5">'reserves 2020'!$A$1:$J$21</definedName>
    <definedName name="_xlnm.Print_Area" localSheetId="8">'reserves 2021'!$A$1:$J$22</definedName>
    <definedName name="_xlnm.Print_Area" localSheetId="10">'reserves 2022'!$A$1:$J$22</definedName>
    <definedName name="_xlnm.Print_Area" localSheetId="12">'reserves 2022 (2)'!$A$1:$J$22</definedName>
    <definedName name="_xlnm.Print_Area" localSheetId="15">'reserves 2024'!$A$1:$J$22</definedName>
    <definedName name="_xlnm.Print_Area" localSheetId="16">'reserves 2024 (2)'!$A$1:$M$22</definedName>
    <definedName name="_xlnm.Print_Area" localSheetId="6">'reserves as of 52020'!$A$1:$J$12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2" l="1"/>
  <c r="J10" i="22"/>
  <c r="J9" i="22"/>
  <c r="J8" i="22"/>
  <c r="J7" i="22"/>
  <c r="J6" i="22"/>
  <c r="F19" i="22"/>
  <c r="F18" i="22"/>
  <c r="F17" i="22"/>
  <c r="F16" i="22"/>
  <c r="F15" i="22"/>
  <c r="F12" i="22"/>
  <c r="E12" i="22"/>
  <c r="C12" i="22"/>
  <c r="P11" i="22"/>
  <c r="K11" i="22"/>
  <c r="H11" i="22"/>
  <c r="G11" i="22"/>
  <c r="H10" i="22"/>
  <c r="K10" i="22" s="1"/>
  <c r="G10" i="22"/>
  <c r="K9" i="22"/>
  <c r="H9" i="22"/>
  <c r="G9" i="22"/>
  <c r="H8" i="22"/>
  <c r="K8" i="22" s="1"/>
  <c r="G8" i="22"/>
  <c r="K7" i="22"/>
  <c r="H7" i="22"/>
  <c r="G6" i="22"/>
  <c r="G12" i="22" s="1"/>
  <c r="N20" i="21"/>
  <c r="M20" i="21"/>
  <c r="M19" i="21"/>
  <c r="M18" i="21"/>
  <c r="M17" i="21"/>
  <c r="M16" i="21"/>
  <c r="M15" i="21"/>
  <c r="K12" i="21"/>
  <c r="K11" i="21"/>
  <c r="K10" i="21"/>
  <c r="K9" i="21"/>
  <c r="K8" i="21"/>
  <c r="K7" i="21"/>
  <c r="K6" i="21"/>
  <c r="J6" i="21"/>
  <c r="J12" i="21"/>
  <c r="I15" i="21"/>
  <c r="E45" i="19"/>
  <c r="F12" i="21"/>
  <c r="E32" i="19"/>
  <c r="E12" i="21"/>
  <c r="C12" i="21"/>
  <c r="P11" i="21"/>
  <c r="J11" i="21"/>
  <c r="G11" i="21"/>
  <c r="H11" i="21" s="1"/>
  <c r="J10" i="21"/>
  <c r="G10" i="21"/>
  <c r="H10" i="21" s="1"/>
  <c r="J9" i="21"/>
  <c r="G9" i="21"/>
  <c r="H9" i="21" s="1"/>
  <c r="J8" i="21"/>
  <c r="G8" i="21"/>
  <c r="H8" i="21" s="1"/>
  <c r="H7" i="21"/>
  <c r="J7" i="21" s="1"/>
  <c r="G6" i="21"/>
  <c r="C45" i="19"/>
  <c r="C48" i="19" s="1"/>
  <c r="D46" i="19"/>
  <c r="D11" i="19"/>
  <c r="C11" i="19"/>
  <c r="D2" i="18"/>
  <c r="D8" i="18" s="1"/>
  <c r="K4" i="18"/>
  <c r="K6" i="18"/>
  <c r="K5" i="18"/>
  <c r="I9" i="18"/>
  <c r="D7" i="18"/>
  <c r="E7" i="18" s="1"/>
  <c r="D5" i="18"/>
  <c r="E5" i="18" s="1"/>
  <c r="D7" i="17"/>
  <c r="E7" i="17" s="1"/>
  <c r="D6" i="17"/>
  <c r="E6" i="17" s="1"/>
  <c r="D5" i="17"/>
  <c r="E5" i="17" s="1"/>
  <c r="D4" i="17"/>
  <c r="E4" i="17" s="1"/>
  <c r="D3" i="17"/>
  <c r="E3" i="17" s="1"/>
  <c r="F6" i="16"/>
  <c r="G6" i="16" s="1"/>
  <c r="H6" i="16" s="1"/>
  <c r="H12" i="16" s="1"/>
  <c r="J6" i="16"/>
  <c r="F7" i="16"/>
  <c r="H7" i="16"/>
  <c r="J7" i="16" s="1"/>
  <c r="F8" i="16"/>
  <c r="G8" i="16"/>
  <c r="H8" i="16"/>
  <c r="J8" i="16"/>
  <c r="F9" i="16"/>
  <c r="G9" i="16"/>
  <c r="H9" i="16"/>
  <c r="J9" i="16"/>
  <c r="F10" i="16"/>
  <c r="G10" i="16"/>
  <c r="H10" i="16"/>
  <c r="J10" i="16"/>
  <c r="F11" i="16"/>
  <c r="G11" i="16"/>
  <c r="H11" i="16"/>
  <c r="J11" i="16"/>
  <c r="P11" i="16"/>
  <c r="C12" i="16"/>
  <c r="E12" i="16"/>
  <c r="F19" i="16"/>
  <c r="F18" i="16"/>
  <c r="F17" i="16"/>
  <c r="F16" i="16"/>
  <c r="F15" i="16"/>
  <c r="H19" i="12"/>
  <c r="H18" i="12"/>
  <c r="H17" i="12"/>
  <c r="H16" i="12"/>
  <c r="H15" i="12"/>
  <c r="E44" i="11"/>
  <c r="E7" i="15"/>
  <c r="E6" i="15"/>
  <c r="E5" i="15"/>
  <c r="E4" i="15"/>
  <c r="E3" i="15"/>
  <c r="D7" i="15"/>
  <c r="D6" i="15"/>
  <c r="D5" i="15"/>
  <c r="D4" i="15"/>
  <c r="D3" i="15"/>
  <c r="E20" i="11"/>
  <c r="D20" i="11"/>
  <c r="E51" i="11"/>
  <c r="E50" i="11"/>
  <c r="E49" i="11"/>
  <c r="E48" i="11"/>
  <c r="E47" i="11"/>
  <c r="E41" i="11"/>
  <c r="E9" i="11"/>
  <c r="D42" i="11"/>
  <c r="D32" i="11"/>
  <c r="D31" i="11"/>
  <c r="D30" i="11"/>
  <c r="D28" i="11"/>
  <c r="D41" i="11"/>
  <c r="D44" i="11" s="1"/>
  <c r="F6" i="12"/>
  <c r="G6" i="12"/>
  <c r="H6" i="12"/>
  <c r="H7" i="12"/>
  <c r="F8" i="12"/>
  <c r="G8" i="12"/>
  <c r="H8" i="12"/>
  <c r="F9" i="12"/>
  <c r="G9" i="12"/>
  <c r="H9" i="12"/>
  <c r="F10" i="12"/>
  <c r="G10" i="12"/>
  <c r="H10" i="12"/>
  <c r="F11" i="12"/>
  <c r="G11" i="12"/>
  <c r="H11" i="12"/>
  <c r="H12" i="12"/>
  <c r="G19" i="12"/>
  <c r="I19" i="12"/>
  <c r="G18" i="12"/>
  <c r="I18" i="12"/>
  <c r="G17" i="12"/>
  <c r="I17" i="12"/>
  <c r="G16" i="12"/>
  <c r="I16" i="12"/>
  <c r="G15" i="12"/>
  <c r="I15" i="12"/>
  <c r="J6" i="12"/>
  <c r="J7" i="12"/>
  <c r="J8" i="12"/>
  <c r="J9" i="12"/>
  <c r="J10" i="12"/>
  <c r="J11" i="12"/>
  <c r="J12" i="12"/>
  <c r="M13" i="12"/>
  <c r="G12" i="12"/>
  <c r="E12" i="12"/>
  <c r="C12" i="12"/>
  <c r="P11" i="12"/>
  <c r="F7" i="12"/>
  <c r="C41" i="11"/>
  <c r="C44" i="11"/>
  <c r="D11" i="11"/>
  <c r="C11" i="11"/>
  <c r="M13" i="7"/>
  <c r="E40" i="8"/>
  <c r="D51" i="8"/>
  <c r="E51" i="8"/>
  <c r="F51" i="8"/>
  <c r="D50" i="8"/>
  <c r="E50" i="8"/>
  <c r="F50" i="8"/>
  <c r="D49" i="8"/>
  <c r="E49" i="8"/>
  <c r="F49" i="8"/>
  <c r="D48" i="8"/>
  <c r="E48" i="8"/>
  <c r="F48" i="8"/>
  <c r="E47" i="8"/>
  <c r="D47" i="8"/>
  <c r="F47" i="8"/>
  <c r="E41" i="8"/>
  <c r="E9" i="8"/>
  <c r="J11" i="7"/>
  <c r="J10" i="7"/>
  <c r="J9" i="7"/>
  <c r="J8" i="7"/>
  <c r="J7" i="7"/>
  <c r="J6" i="7"/>
  <c r="I47" i="8"/>
  <c r="I48" i="8"/>
  <c r="I49" i="8"/>
  <c r="I50" i="8"/>
  <c r="I51" i="8"/>
  <c r="K52" i="8"/>
  <c r="K53" i="8"/>
  <c r="E4" i="8"/>
  <c r="E11" i="8"/>
  <c r="H35" i="8"/>
  <c r="I8" i="8"/>
  <c r="F19" i="7"/>
  <c r="F18" i="7"/>
  <c r="F17" i="7"/>
  <c r="F16" i="7"/>
  <c r="F15" i="7"/>
  <c r="D41" i="8"/>
  <c r="D43" i="8"/>
  <c r="D27" i="8"/>
  <c r="D29" i="8"/>
  <c r="D31" i="8"/>
  <c r="D5" i="8"/>
  <c r="D9" i="8"/>
  <c r="C4" i="8"/>
  <c r="C9" i="8"/>
  <c r="C41" i="8"/>
  <c r="C40" i="8"/>
  <c r="C44" i="8"/>
  <c r="C5" i="8"/>
  <c r="E44" i="8"/>
  <c r="D11" i="8"/>
  <c r="E12" i="7"/>
  <c r="C12" i="7"/>
  <c r="P11" i="7"/>
  <c r="H7" i="7"/>
  <c r="D40" i="8"/>
  <c r="D44" i="8"/>
  <c r="C11" i="8"/>
  <c r="J7" i="6"/>
  <c r="H7" i="6"/>
  <c r="J6" i="6"/>
  <c r="J8" i="6"/>
  <c r="J9" i="6"/>
  <c r="J10" i="6"/>
  <c r="J11" i="6"/>
  <c r="J12" i="6"/>
  <c r="I19" i="6"/>
  <c r="F19" i="6"/>
  <c r="J19" i="6"/>
  <c r="F6" i="6"/>
  <c r="G6" i="6"/>
  <c r="H6" i="6"/>
  <c r="F8" i="6"/>
  <c r="G8" i="6"/>
  <c r="H8" i="6"/>
  <c r="F9" i="6"/>
  <c r="G9" i="6"/>
  <c r="H9" i="6"/>
  <c r="F10" i="6"/>
  <c r="G10" i="6"/>
  <c r="H10" i="6"/>
  <c r="F11" i="6"/>
  <c r="G11" i="6"/>
  <c r="H11" i="6"/>
  <c r="H12" i="6"/>
  <c r="G19" i="6"/>
  <c r="H19" i="6"/>
  <c r="I18" i="6"/>
  <c r="F18" i="6"/>
  <c r="J18" i="6"/>
  <c r="G18" i="6"/>
  <c r="H18" i="6"/>
  <c r="I17" i="6"/>
  <c r="F17" i="6"/>
  <c r="J17" i="6"/>
  <c r="G17" i="6"/>
  <c r="H17" i="6"/>
  <c r="I16" i="6"/>
  <c r="F16" i="6"/>
  <c r="J16" i="6"/>
  <c r="G16" i="6"/>
  <c r="H16" i="6"/>
  <c r="F15" i="6"/>
  <c r="I15" i="6"/>
  <c r="J15" i="6"/>
  <c r="G15" i="6"/>
  <c r="H15" i="6"/>
  <c r="G12" i="6"/>
  <c r="E12" i="6"/>
  <c r="C12" i="6"/>
  <c r="P11" i="6"/>
  <c r="K4" i="5"/>
  <c r="P10" i="4"/>
  <c r="G8" i="5"/>
  <c r="G7" i="5"/>
  <c r="G6" i="5"/>
  <c r="G5" i="5"/>
  <c r="G4" i="5"/>
  <c r="D8" i="5"/>
  <c r="F8" i="5"/>
  <c r="D7" i="5"/>
  <c r="F7" i="5"/>
  <c r="D6" i="5"/>
  <c r="F6" i="5"/>
  <c r="D5" i="5"/>
  <c r="F5" i="5"/>
  <c r="I9" i="5"/>
  <c r="J10" i="4"/>
  <c r="J9" i="4"/>
  <c r="J8" i="4"/>
  <c r="J7" i="4"/>
  <c r="J6" i="4"/>
  <c r="D4" i="5"/>
  <c r="F4" i="5"/>
  <c r="E4" i="5"/>
  <c r="E5" i="5"/>
  <c r="E6" i="5"/>
  <c r="E7" i="5"/>
  <c r="E8" i="5"/>
  <c r="E9" i="5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H11" i="2"/>
  <c r="H12" i="2"/>
  <c r="J11" i="4"/>
  <c r="E37" i="3"/>
  <c r="F46" i="3"/>
  <c r="F18" i="4"/>
  <c r="F45" i="3"/>
  <c r="F17" i="4"/>
  <c r="F44" i="3"/>
  <c r="F16" i="4"/>
  <c r="F43" i="3"/>
  <c r="F15" i="4"/>
  <c r="F42" i="3"/>
  <c r="F14" i="4"/>
  <c r="E6" i="3"/>
  <c r="G46" i="3"/>
  <c r="H46" i="3"/>
  <c r="G45" i="3"/>
  <c r="H45" i="3"/>
  <c r="G44" i="3"/>
  <c r="H44" i="3"/>
  <c r="G43" i="3"/>
  <c r="H43" i="3"/>
  <c r="G42" i="3"/>
  <c r="H42" i="3"/>
  <c r="E36" i="3"/>
  <c r="E39" i="3"/>
  <c r="D27" i="3"/>
  <c r="D26" i="3"/>
  <c r="D25" i="3"/>
  <c r="D18" i="3"/>
  <c r="D36" i="3"/>
  <c r="D6" i="3"/>
  <c r="C37" i="3"/>
  <c r="D37" i="3"/>
  <c r="D38" i="3"/>
  <c r="D39" i="3"/>
  <c r="C36" i="3"/>
  <c r="C38" i="3"/>
  <c r="C39" i="3"/>
  <c r="E4" i="3"/>
  <c r="K42" i="3"/>
  <c r="K43" i="3"/>
  <c r="K44" i="3"/>
  <c r="K45" i="3"/>
  <c r="K46" i="3"/>
  <c r="K47" i="3"/>
  <c r="K48" i="3"/>
  <c r="E3" i="3"/>
  <c r="E8" i="3"/>
  <c r="D8" i="3"/>
  <c r="E11" i="4"/>
  <c r="C11" i="4"/>
  <c r="F10" i="4"/>
  <c r="G10" i="4"/>
  <c r="H10" i="4"/>
  <c r="F9" i="4"/>
  <c r="G9" i="4"/>
  <c r="H9" i="4"/>
  <c r="F8" i="4"/>
  <c r="G8" i="4"/>
  <c r="H8" i="4"/>
  <c r="F7" i="4"/>
  <c r="G7" i="4"/>
  <c r="H7" i="4"/>
  <c r="F6" i="4"/>
  <c r="G6" i="4"/>
  <c r="C8" i="3"/>
  <c r="I15" i="4"/>
  <c r="J15" i="4"/>
  <c r="I18" i="4"/>
  <c r="J18" i="4"/>
  <c r="I14" i="4"/>
  <c r="J14" i="4"/>
  <c r="I17" i="4"/>
  <c r="J17" i="4"/>
  <c r="I16" i="4"/>
  <c r="J16" i="4"/>
  <c r="G11" i="4"/>
  <c r="H6" i="4"/>
  <c r="H11" i="4"/>
  <c r="K43" i="1"/>
  <c r="G17" i="4"/>
  <c r="H17" i="4"/>
  <c r="G16" i="4"/>
  <c r="H16" i="4"/>
  <c r="G18" i="4"/>
  <c r="H18" i="4"/>
  <c r="G14" i="4"/>
  <c r="H14" i="4"/>
  <c r="G15" i="4"/>
  <c r="H15" i="4"/>
  <c r="J42" i="1"/>
  <c r="J43" i="1"/>
  <c r="J44" i="1"/>
  <c r="J45" i="1"/>
  <c r="J46" i="1"/>
  <c r="J47" i="1"/>
  <c r="J41" i="1"/>
  <c r="E4" i="1"/>
  <c r="E39" i="1"/>
  <c r="E38" i="1"/>
  <c r="F46" i="1"/>
  <c r="I46" i="1"/>
  <c r="F45" i="1"/>
  <c r="H45" i="1"/>
  <c r="F44" i="1"/>
  <c r="I44" i="1"/>
  <c r="F43" i="1"/>
  <c r="I43" i="1"/>
  <c r="F42" i="1"/>
  <c r="H42" i="1"/>
  <c r="G36" i="1"/>
  <c r="H46" i="1"/>
  <c r="I45" i="1"/>
  <c r="I42" i="1"/>
  <c r="I47" i="1"/>
  <c r="H43" i="1"/>
  <c r="H44" i="1"/>
  <c r="G17" i="1"/>
  <c r="E3" i="1"/>
  <c r="J48" i="1"/>
  <c r="F18" i="2"/>
  <c r="F17" i="2"/>
  <c r="F15" i="2"/>
  <c r="F16" i="2"/>
  <c r="F14" i="2"/>
  <c r="C38" i="1"/>
  <c r="D26" i="1"/>
  <c r="E11" i="2"/>
  <c r="C11" i="2"/>
  <c r="J10" i="2"/>
  <c r="J9" i="2"/>
  <c r="J8" i="2"/>
  <c r="J7" i="2"/>
  <c r="J6" i="2"/>
  <c r="G11" i="2"/>
  <c r="J11" i="2"/>
  <c r="G18" i="2"/>
  <c r="H18" i="2"/>
  <c r="G16" i="2"/>
  <c r="H16" i="2"/>
  <c r="G15" i="2"/>
  <c r="H15" i="2"/>
  <c r="G17" i="2"/>
  <c r="H17" i="2"/>
  <c r="G14" i="2"/>
  <c r="H14" i="2"/>
  <c r="I18" i="2"/>
  <c r="J18" i="2"/>
  <c r="I14" i="2"/>
  <c r="J14" i="2"/>
  <c r="I17" i="2"/>
  <c r="J17" i="2"/>
  <c r="I16" i="2"/>
  <c r="J16" i="2"/>
  <c r="I15" i="2"/>
  <c r="J15" i="2"/>
  <c r="D38" i="1"/>
  <c r="E9" i="1"/>
  <c r="F6" i="7"/>
  <c r="G6" i="7"/>
  <c r="F7" i="7"/>
  <c r="F8" i="7"/>
  <c r="G8" i="7"/>
  <c r="H8" i="7"/>
  <c r="F9" i="7"/>
  <c r="G9" i="7"/>
  <c r="H9" i="7"/>
  <c r="F10" i="7"/>
  <c r="G10" i="7"/>
  <c r="H10" i="7"/>
  <c r="F11" i="7"/>
  <c r="G11" i="7"/>
  <c r="H11" i="7"/>
  <c r="G12" i="7"/>
  <c r="H6" i="7"/>
  <c r="H12" i="7"/>
  <c r="G15" i="7"/>
  <c r="I15" i="7"/>
  <c r="J15" i="7"/>
  <c r="J12" i="7"/>
  <c r="G19" i="7"/>
  <c r="G16" i="7"/>
  <c r="I16" i="7"/>
  <c r="J16" i="7"/>
  <c r="G18" i="7"/>
  <c r="I18" i="7"/>
  <c r="G17" i="7"/>
  <c r="I17" i="7"/>
  <c r="J17" i="7"/>
  <c r="I19" i="7"/>
  <c r="J19" i="7"/>
  <c r="H19" i="7"/>
  <c r="H15" i="7"/>
  <c r="H16" i="7"/>
  <c r="H18" i="7"/>
  <c r="H17" i="7"/>
  <c r="J12" i="22" l="1"/>
  <c r="M13" i="22" s="1"/>
  <c r="H6" i="22"/>
  <c r="H40" i="19"/>
  <c r="E4" i="19"/>
  <c r="M13" i="21"/>
  <c r="G12" i="21"/>
  <c r="H6" i="21"/>
  <c r="H12" i="21" s="1"/>
  <c r="D45" i="19"/>
  <c r="D48" i="19" s="1"/>
  <c r="E48" i="19"/>
  <c r="E8" i="18"/>
  <c r="D4" i="18"/>
  <c r="D6" i="18"/>
  <c r="E6" i="18" s="1"/>
  <c r="E4" i="18"/>
  <c r="J12" i="16"/>
  <c r="M13" i="16" s="1"/>
  <c r="G12" i="16"/>
  <c r="D51" i="11"/>
  <c r="F19" i="12" s="1"/>
  <c r="H36" i="11"/>
  <c r="D50" i="11"/>
  <c r="D49" i="11"/>
  <c r="D47" i="11"/>
  <c r="D48" i="11"/>
  <c r="H12" i="22" l="1"/>
  <c r="K6" i="22"/>
  <c r="K12" i="22" s="1"/>
  <c r="D55" i="19"/>
  <c r="D54" i="19"/>
  <c r="F18" i="21" s="1"/>
  <c r="D53" i="19"/>
  <c r="F17" i="21" s="1"/>
  <c r="D52" i="19"/>
  <c r="D51" i="19"/>
  <c r="G18" i="21"/>
  <c r="G16" i="21"/>
  <c r="G19" i="21"/>
  <c r="G15" i="21"/>
  <c r="G17" i="21"/>
  <c r="F16" i="21"/>
  <c r="F19" i="21"/>
  <c r="E9" i="18"/>
  <c r="G19" i="16"/>
  <c r="G15" i="16"/>
  <c r="G18" i="16"/>
  <c r="G17" i="16"/>
  <c r="G16" i="16"/>
  <c r="F51" i="11"/>
  <c r="I51" i="11"/>
  <c r="J19" i="12"/>
  <c r="F48" i="11"/>
  <c r="F16" i="12"/>
  <c r="J16" i="12" s="1"/>
  <c r="F47" i="11"/>
  <c r="F15" i="12"/>
  <c r="F50" i="11"/>
  <c r="F18" i="12"/>
  <c r="F49" i="11"/>
  <c r="F17" i="12"/>
  <c r="I47" i="11"/>
  <c r="I49" i="11"/>
  <c r="I50" i="11"/>
  <c r="I48" i="11"/>
  <c r="G16" i="22" l="1"/>
  <c r="G17" i="22"/>
  <c r="G15" i="22"/>
  <c r="G18" i="22"/>
  <c r="G19" i="22"/>
  <c r="F15" i="21"/>
  <c r="H15" i="21" s="1"/>
  <c r="D56" i="19"/>
  <c r="I18" i="21"/>
  <c r="J18" i="21" s="1"/>
  <c r="H18" i="21"/>
  <c r="I17" i="21"/>
  <c r="J17" i="21" s="1"/>
  <c r="H17" i="21"/>
  <c r="I19" i="21"/>
  <c r="J19" i="21" s="1"/>
  <c r="H19" i="21"/>
  <c r="I16" i="21"/>
  <c r="J16" i="21" s="1"/>
  <c r="H16" i="21"/>
  <c r="I17" i="16"/>
  <c r="J17" i="16" s="1"/>
  <c r="H17" i="16"/>
  <c r="I18" i="16"/>
  <c r="J18" i="16" s="1"/>
  <c r="H18" i="16"/>
  <c r="I15" i="16"/>
  <c r="J15" i="16" s="1"/>
  <c r="H15" i="16"/>
  <c r="I16" i="16"/>
  <c r="J16" i="16" s="1"/>
  <c r="H16" i="16"/>
  <c r="I19" i="16"/>
  <c r="J19" i="16" s="1"/>
  <c r="H19" i="16"/>
  <c r="J15" i="12"/>
  <c r="J18" i="12"/>
  <c r="J17" i="12"/>
  <c r="K52" i="11"/>
  <c r="E4" i="11" s="1"/>
  <c r="E12" i="11" s="1"/>
  <c r="I19" i="22" l="1"/>
  <c r="H19" i="22"/>
  <c r="I17" i="22"/>
  <c r="H17" i="22"/>
  <c r="I18" i="22"/>
  <c r="H18" i="22"/>
  <c r="H16" i="22"/>
  <c r="I16" i="22"/>
  <c r="I15" i="22"/>
  <c r="H15" i="22"/>
  <c r="J15" i="21"/>
  <c r="K56" i="19"/>
  <c r="K53" i="11"/>
  <c r="M16" i="22" l="1"/>
  <c r="J16" i="22"/>
  <c r="M18" i="22"/>
  <c r="J18" i="22"/>
  <c r="J17" i="22"/>
  <c r="M17" i="22"/>
  <c r="M15" i="22"/>
  <c r="M20" i="22" s="1"/>
  <c r="N20" i="22" s="1"/>
  <c r="J15" i="22"/>
  <c r="M19" i="22"/>
  <c r="J19" i="22"/>
  <c r="K57" i="19"/>
  <c r="E11" i="11"/>
  <c r="I8" i="11"/>
  <c r="E11" i="19" l="1"/>
  <c r="E12" i="19"/>
</calcChain>
</file>

<file path=xl/sharedStrings.xml><?xml version="1.0" encoding="utf-8"?>
<sst xmlns="http://schemas.openxmlformats.org/spreadsheetml/2006/main" count="779" uniqueCount="178">
  <si>
    <t>Applicaton Fee inome</t>
  </si>
  <si>
    <t>Income Account Total</t>
  </si>
  <si>
    <t>Espenses Account</t>
  </si>
  <si>
    <t>Electricity</t>
  </si>
  <si>
    <t>Water and Sewer</t>
  </si>
  <si>
    <t>Landscaping Contract</t>
  </si>
  <si>
    <t>Bad Debt</t>
  </si>
  <si>
    <t>Mgmt. Service Contract</t>
  </si>
  <si>
    <t>Laundry Room Income</t>
  </si>
  <si>
    <t>Accounting</t>
  </si>
  <si>
    <t>Cable T.V.</t>
  </si>
  <si>
    <t>Insurance</t>
  </si>
  <si>
    <t>Landscape Extras</t>
  </si>
  <si>
    <t>Bldg Repairs &amp; Maint.</t>
  </si>
  <si>
    <t>Maintenace Person Contract</t>
  </si>
  <si>
    <t>OPERATING EXPENSES</t>
  </si>
  <si>
    <t xml:space="preserve">Assessments-Homeowners  </t>
  </si>
  <si>
    <t>Delinquent Fee Inome</t>
  </si>
  <si>
    <t>Bk. Interest Income-Oper.</t>
  </si>
  <si>
    <t>Pest Control Services</t>
  </si>
  <si>
    <t xml:space="preserve">   Repairs and Maintenance</t>
  </si>
  <si>
    <t xml:space="preserve">   Contracts</t>
  </si>
  <si>
    <t xml:space="preserve">   Utilities</t>
  </si>
  <si>
    <t>Irriig. repairs &amp; maintenance</t>
  </si>
  <si>
    <t>Pool Maintenance Contract</t>
  </si>
  <si>
    <t>Copies/ Postage/ Supplies</t>
  </si>
  <si>
    <t>Annual Filing Fees</t>
  </si>
  <si>
    <t>Legal Expense</t>
  </si>
  <si>
    <t>Tax &amp; Licenses/ Permits</t>
  </si>
  <si>
    <t>2019 Budget</t>
  </si>
  <si>
    <t>Loan Repayment</t>
  </si>
  <si>
    <t>Pool Repairs / supplies</t>
  </si>
  <si>
    <t>Roof Repairs &amp; Maint.</t>
  </si>
  <si>
    <t>Tree Trimming / Hurricane</t>
  </si>
  <si>
    <t>Electrical Repairs</t>
  </si>
  <si>
    <t>Building  Maint. Supplies</t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</si>
  <si>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</si>
  <si>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</si>
  <si>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</si>
  <si>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</si>
  <si>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</si>
  <si>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</si>
  <si>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</si>
  <si>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</si>
  <si>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</si>
  <si>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</si>
  <si>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</si>
  <si>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</si>
  <si>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2019 Budget - 40%</t>
  </si>
  <si>
    <t>Account</t>
  </si>
  <si>
    <t>for Life</t>
  </si>
  <si>
    <t>Full Reserves</t>
  </si>
  <si>
    <t>Partial Reserves</t>
  </si>
  <si>
    <t>Roof</t>
  </si>
  <si>
    <t>Parking lot</t>
  </si>
  <si>
    <t>Paint</t>
  </si>
  <si>
    <t>Total</t>
  </si>
  <si>
    <t>*The Florida Statues require the Board of Directors to adopt a budget with full reserves.  The unit owners at a duly called meeting, may vote against the funding of full reserves or may opt to vot for reserves "less than adequate". (Partial Reserves)</t>
  </si>
  <si>
    <t>Pool</t>
  </si>
  <si>
    <t>Concrete Restoration</t>
  </si>
  <si>
    <t>Approved 2018 Budget</t>
  </si>
  <si>
    <t>Estimated 2018 Expenses</t>
  </si>
  <si>
    <t xml:space="preserve">Income:  </t>
  </si>
  <si>
    <t>A Maintenance</t>
  </si>
  <si>
    <t>B Maintenance</t>
  </si>
  <si>
    <t>C Maintenance</t>
  </si>
  <si>
    <t>D Maintenance</t>
  </si>
  <si>
    <t>E Maintenance</t>
  </si>
  <si>
    <t>Percentage</t>
  </si>
  <si>
    <t>Units:</t>
  </si>
  <si>
    <t>101, 102, 109, 113, 120, 121, 201, 202, 207, 213, 220, 221, 301, 302, 307, 313, 320, 321, 401, 402, 407, 413, 420, 421</t>
  </si>
  <si>
    <t>103, 106, 108, 112, 114, 119, 203, 206, 208, 212, 214, 219, 303, 306, 308, 312, 314, 319, 403, 406, 408, 412, 414, 419</t>
  </si>
  <si>
    <t>104, 105, 116, 117, 204, 205, 210, 211, 216, 217, 222, 223, 304, 305, 316, 317, 404, 405, 410, 411, 416, 417, 422, 423</t>
  </si>
  <si>
    <t>109, 115, 118, 209, 215, 218, 224, 309, 315, 322, 409, 415, 418, 424</t>
  </si>
  <si>
    <t>110, 111, 122, 310, 311, 318</t>
  </si>
  <si>
    <t>Monthly with no reserves</t>
  </si>
  <si>
    <t>Full Reserves with Maintenance fees</t>
  </si>
  <si>
    <t>Partial Reserves without Maintenance fees</t>
  </si>
  <si>
    <t>Full Reserves without Maintenance fees</t>
  </si>
  <si>
    <t>Partial Reserves with Maintenance fees at 40%</t>
  </si>
  <si>
    <t>Maintenance for 2019 without Reserves</t>
  </si>
  <si>
    <t>General and Adminstritave</t>
  </si>
  <si>
    <t>AMENDED BUDGET 2019 for January 1, 2019 to December 31, 2019</t>
  </si>
  <si>
    <t xml:space="preserve">Reserves for 2019 -AMENDED </t>
  </si>
  <si>
    <t>Approved 2019 Budget</t>
  </si>
  <si>
    <t>Cable Income</t>
  </si>
  <si>
    <t>Maintenance &amp; Cable</t>
  </si>
  <si>
    <t>101, 102, 107, 113, 120, 121, 201, 202, 207, 213, 220, 221, 301, 302, 307, 313, 320, 321, 401, 402, 407, 413, 420, 421</t>
  </si>
  <si>
    <t xml:space="preserve">Reserves for 2020 -AMENDED </t>
  </si>
  <si>
    <t>2020 Budget</t>
  </si>
  <si>
    <t>AMENDED BUDGET 2020 for January 1, 2020 to December 31, 2020</t>
  </si>
  <si>
    <t>Estimated 2019 Expenses</t>
  </si>
  <si>
    <t>Maintenance for 2020 without Reserves</t>
  </si>
  <si>
    <t>TOTAL EXPENSES</t>
  </si>
  <si>
    <t>Partial Reserves with Maintenance fees</t>
  </si>
  <si>
    <t>Partial at 29%</t>
  </si>
  <si>
    <t>Total Maintenance fee for 2020</t>
  </si>
  <si>
    <t>for 9 years</t>
  </si>
  <si>
    <t>2020 Budget - 18%</t>
  </si>
  <si>
    <t>Partial Reserves with Maintenance fees at 18%</t>
  </si>
  <si>
    <t>Overall collection for each %</t>
  </si>
  <si>
    <t>Full Assessment per Unit with interest</t>
  </si>
  <si>
    <t>Roof Assessment 2020</t>
  </si>
  <si>
    <t>$1,000,000.00  loan per Unit Monthly</t>
  </si>
  <si>
    <t>=SUM(J11/12)</t>
  </si>
  <si>
    <t xml:space="preserve"> </t>
  </si>
  <si>
    <t>4.25 interest  $206000</t>
  </si>
  <si>
    <t>Mansard Roofs</t>
  </si>
  <si>
    <t>Revised Approved 2020 Budget</t>
  </si>
  <si>
    <t xml:space="preserve">Reserves as of May 21 2020 </t>
  </si>
  <si>
    <t>Full Assessment with no interest paid in full by June 20, 2020</t>
  </si>
  <si>
    <t>2021 Budget</t>
  </si>
  <si>
    <t>AMENDED BUDGET 2021 for January 1, 2021 to December 31, 2021</t>
  </si>
  <si>
    <t>Approved 2020 Budget</t>
  </si>
  <si>
    <t>Estimated 2020 Expenses</t>
  </si>
  <si>
    <t>Revised Approved 2021 Budget</t>
  </si>
  <si>
    <t>Delinquent Fee Income</t>
  </si>
  <si>
    <t>Maintenance for 2021 without Reserves</t>
  </si>
  <si>
    <t>Total Maintenance fee for 2021</t>
  </si>
  <si>
    <t>Interest Income</t>
  </si>
  <si>
    <t xml:space="preserve">Miantenance-Homeowners  </t>
  </si>
  <si>
    <t>Bank Fees</t>
  </si>
  <si>
    <t>Postage</t>
  </si>
  <si>
    <t>Office Supplies</t>
  </si>
  <si>
    <t>Mansard Expenses</t>
  </si>
  <si>
    <t>SBA Loan Income</t>
  </si>
  <si>
    <t>Partial Reserves with Maintenance fees at 20%</t>
  </si>
  <si>
    <t>2021 Budget - 20%</t>
  </si>
  <si>
    <t>Partial Reserves without Maintenance fees at 20%</t>
  </si>
  <si>
    <t>Reserves with Maintenance fees</t>
  </si>
  <si>
    <t>Reserves as of December 31, 2021</t>
  </si>
  <si>
    <t>Approved 2021 Budget</t>
  </si>
  <si>
    <t>Estimated 2021 Expenses</t>
  </si>
  <si>
    <t>Proposed  BUDGET 2022 for January 1, 2022 to December 31, 2022</t>
  </si>
  <si>
    <t>Assessment Income</t>
  </si>
  <si>
    <t>Maintenance for 2022 without Reserves</t>
  </si>
  <si>
    <t>2022 Budget</t>
  </si>
  <si>
    <t>2022 Budget - 20%</t>
  </si>
  <si>
    <t>Total Maintenance fee for 2022</t>
  </si>
  <si>
    <t>SBA Loan Repayment</t>
  </si>
  <si>
    <t xml:space="preserve">Assessment </t>
  </si>
  <si>
    <t>3 Equal payments</t>
  </si>
  <si>
    <t>Assessment for railings $84000 plus partial paint $100000</t>
  </si>
  <si>
    <t>the $500 cannot change as this is the approved # from last year</t>
  </si>
  <si>
    <t>these figures vary as how much we collect from past due accts</t>
  </si>
  <si>
    <t>this number represents what is collected in income towards the expenses below</t>
  </si>
  <si>
    <t>this is what you are paying now</t>
  </si>
  <si>
    <t>what you are paying now</t>
  </si>
  <si>
    <t>changed these numbers</t>
  </si>
  <si>
    <t>new lights on the exterior of the buildings</t>
  </si>
  <si>
    <t>laundry income includes from 2020 so this number must be changed to be accurate</t>
  </si>
  <si>
    <t>$12500 for diamond brite one pool in 2022????</t>
  </si>
  <si>
    <t>Reserves for January 1, 2022 to December 31, 2022</t>
  </si>
  <si>
    <t>Loan #2</t>
  </si>
  <si>
    <t>5% interest  $206000</t>
  </si>
  <si>
    <t>Revised 2022 Budget</t>
  </si>
  <si>
    <t>Proposed  BUDGET 2024 for January 1, 2022 to December 31, 2024</t>
  </si>
  <si>
    <t>Approved 2023 Budget</t>
  </si>
  <si>
    <t>Estimated 2023 Expenses</t>
  </si>
  <si>
    <t>Proposed 2024 Budget</t>
  </si>
  <si>
    <t>Engineer Expense</t>
  </si>
  <si>
    <t>Garbage Expense</t>
  </si>
  <si>
    <t>Roof Maintenance</t>
  </si>
  <si>
    <t>Flacks Repayment</t>
  </si>
  <si>
    <t>Maintenance for 2024 without Reserves</t>
  </si>
  <si>
    <t>Reserves for January 1, 2024 to December 31, 2024</t>
  </si>
  <si>
    <t>2024 Budget</t>
  </si>
  <si>
    <t>2024 Budget - 20%</t>
  </si>
  <si>
    <t>Flacks Assessment</t>
  </si>
  <si>
    <t>Interest Income - Bank</t>
  </si>
  <si>
    <t xml:space="preserve">Maintenance-Homeowners  </t>
  </si>
  <si>
    <t>Expenses Account</t>
  </si>
  <si>
    <t>General and Administrative</t>
  </si>
  <si>
    <t>Maintenance Person Contract</t>
  </si>
  <si>
    <t>Bldg Repairs &amp; Manit.</t>
  </si>
  <si>
    <t>Building  Manit. Supplies</t>
  </si>
  <si>
    <t>Irrigation repairs &amp; maintenance</t>
  </si>
  <si>
    <t>*The Florida Statute requires the Board of Directors to adopt a budget with full reserves.  The unit owners at a duly called meeting, may vote against the funding of full reserves or may opt to vote for reserves "less than adequate". (Partial Reserves)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</si>
</sst>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3" formatCode="_(* #,##0.00_);_(* \(#,##0.00\);_(* &quot;-&quot;??_);_(@_)"/>
    <numFmt numFmtId="164" formatCode="&quot;$&quot;#,##0.00"/>
    <numFmt numFmtId="165" formatCode="#,##0.000_);\(#,##0.000\)"/>
    <numFmt numFmtId="166" formatCode="&quot;$&quot;#,##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6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/>
    <xf numFmtId="43" fontId="5" fillId="0" borderId="0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Alignment="1">
      <alignment horizontal="left" indent="2"/>
    </xf>
    <xf numFmtId="37" fontId="2" fillId="0" borderId="0" xfId="0" applyNumberFormat="1" applyFont="1"/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164" fontId="9" fillId="3" borderId="9" xfId="0" applyNumberFormat="1" applyFont="1" applyFill="1" applyBorder="1" applyAlignment="1">
      <alignment horizontal="center"/>
    </xf>
    <xf numFmtId="10" fontId="9" fillId="3" borderId="9" xfId="0" applyNumberFormat="1" applyFont="1" applyFill="1" applyBorder="1" applyAlignment="1">
      <alignment horizontal="center"/>
    </xf>
    <xf numFmtId="164" fontId="9" fillId="3" borderId="10" xfId="0" applyNumberFormat="1" applyFont="1" applyFill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  <xf numFmtId="43" fontId="6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5" xfId="0" applyFont="1" applyBorder="1"/>
    <xf numFmtId="43" fontId="6" fillId="0" borderId="0" xfId="1" applyFont="1" applyAlignment="1">
      <alignment horizontal="center"/>
    </xf>
    <xf numFmtId="164" fontId="6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6" fillId="0" borderId="15" xfId="1" applyNumberFormat="1" applyFont="1" applyBorder="1" applyAlignment="1">
      <alignment horizontal="center"/>
    </xf>
    <xf numFmtId="164" fontId="2" fillId="0" borderId="15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12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5" fontId="13" fillId="0" borderId="9" xfId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43" fontId="16" fillId="5" borderId="17" xfId="1" applyFont="1" applyFill="1" applyBorder="1" applyAlignment="1">
      <alignment horizontal="center" vertical="center" wrapText="1"/>
    </xf>
    <xf numFmtId="164" fontId="3" fillId="0" borderId="0" xfId="0" applyNumberFormat="1" applyFont="1"/>
    <xf numFmtId="7" fontId="0" fillId="0" borderId="0" xfId="0" applyNumberFormat="1"/>
    <xf numFmtId="7" fontId="9" fillId="5" borderId="2" xfId="1" applyNumberFormat="1" applyFont="1" applyFill="1" applyBorder="1" applyAlignment="1">
      <alignment horizontal="center" vertical="center" wrapText="1"/>
    </xf>
    <xf numFmtId="7" fontId="16" fillId="5" borderId="18" xfId="1" applyNumberFormat="1" applyFont="1" applyFill="1" applyBorder="1" applyAlignment="1">
      <alignment horizontal="center" vertical="center" wrapText="1"/>
    </xf>
    <xf numFmtId="43" fontId="16" fillId="0" borderId="0" xfId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5" fillId="5" borderId="0" xfId="1" applyNumberFormat="1" applyFont="1" applyFill="1" applyBorder="1" applyAlignment="1">
      <alignment horizontal="center"/>
    </xf>
    <xf numFmtId="166" fontId="5" fillId="5" borderId="0" xfId="1" applyNumberFormat="1" applyFont="1" applyFill="1" applyBorder="1" applyAlignment="1">
      <alignment horizontal="center"/>
    </xf>
    <xf numFmtId="164" fontId="6" fillId="4" borderId="0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164" fontId="12" fillId="0" borderId="2" xfId="0" applyNumberFormat="1" applyFont="1" applyBorder="1" applyAlignment="1">
      <alignment horizontal="center" vertical="center" wrapText="1"/>
    </xf>
    <xf numFmtId="7" fontId="12" fillId="0" borderId="1" xfId="1" applyNumberFormat="1" applyFont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5" fillId="4" borderId="0" xfId="1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164" fontId="3" fillId="5" borderId="0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6" fillId="0" borderId="15" xfId="1" applyNumberFormat="1" applyFont="1" applyFill="1" applyBorder="1" applyAlignment="1">
      <alignment horizontal="center"/>
    </xf>
    <xf numFmtId="164" fontId="2" fillId="0" borderId="15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/>
    </xf>
    <xf numFmtId="164" fontId="5" fillId="5" borderId="15" xfId="1" applyNumberFormat="1" applyFont="1" applyFill="1" applyBorder="1" applyAlignment="1">
      <alignment horizontal="center"/>
    </xf>
    <xf numFmtId="164" fontId="3" fillId="5" borderId="15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6" fontId="0" fillId="0" borderId="0" xfId="0" applyNumberFormat="1" applyAlignment="1">
      <alignment wrapText="1"/>
    </xf>
    <xf numFmtId="166" fontId="5" fillId="5" borderId="15" xfId="1" applyNumberFormat="1" applyFont="1" applyFill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165" fontId="10" fillId="0" borderId="2" xfId="1" applyNumberFormat="1" applyFont="1" applyBorder="1" applyAlignment="1">
      <alignment horizontal="center" vertical="center" wrapText="1"/>
    </xf>
    <xf numFmtId="165" fontId="13" fillId="0" borderId="2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7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4" fontId="8" fillId="4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9" fillId="4" borderId="9" xfId="0" applyNumberFormat="1" applyFont="1" applyFill="1" applyBorder="1" applyAlignment="1">
      <alignment horizontal="center"/>
    </xf>
    <xf numFmtId="164" fontId="9" fillId="6" borderId="9" xfId="0" applyNumberFormat="1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center"/>
    </xf>
    <xf numFmtId="166" fontId="5" fillId="0" borderId="15" xfId="1" applyNumberFormat="1" applyFont="1" applyFill="1" applyBorder="1" applyAlignment="1">
      <alignment horizontal="center"/>
    </xf>
    <xf numFmtId="164" fontId="5" fillId="6" borderId="0" xfId="1" applyNumberFormat="1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164" fontId="25" fillId="5" borderId="1" xfId="0" applyNumberFormat="1" applyFont="1" applyFill="1" applyBorder="1" applyAlignment="1">
      <alignment horizontal="center" vertical="center" wrapText="1"/>
    </xf>
    <xf numFmtId="9" fontId="21" fillId="5" borderId="1" xfId="0" applyNumberFormat="1" applyFont="1" applyFill="1" applyBorder="1" applyAlignment="1">
      <alignment horizontal="center" vertical="center" wrapText="1"/>
    </xf>
    <xf numFmtId="0" fontId="17" fillId="0" borderId="3" xfId="0" applyFont="1" applyBorder="1"/>
    <xf numFmtId="43" fontId="8" fillId="0" borderId="4" xfId="1" applyFont="1" applyBorder="1" applyAlignment="1">
      <alignment horizontal="center" vertical="center"/>
    </xf>
    <xf numFmtId="43" fontId="9" fillId="7" borderId="17" xfId="1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165" fontId="10" fillId="0" borderId="9" xfId="1" applyNumberFormat="1" applyFont="1" applyBorder="1" applyAlignment="1">
      <alignment horizontal="center" vertical="center" wrapText="1"/>
    </xf>
    <xf numFmtId="7" fontId="10" fillId="7" borderId="2" xfId="1" applyNumberFormat="1" applyFont="1" applyFill="1" applyBorder="1" applyAlignment="1">
      <alignment horizontal="center" vertical="center" wrapText="1"/>
    </xf>
    <xf numFmtId="7" fontId="10" fillId="7" borderId="18" xfId="1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7" fontId="14" fillId="5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7" fillId="0" borderId="0" xfId="0" applyFont="1"/>
    <xf numFmtId="7" fontId="17" fillId="0" borderId="0" xfId="0" applyNumberFormat="1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wrapText="1"/>
    </xf>
    <xf numFmtId="164" fontId="0" fillId="4" borderId="0" xfId="0" applyNumberFormat="1" applyFill="1"/>
    <xf numFmtId="0" fontId="0" fillId="4" borderId="0" xfId="0" applyFill="1"/>
    <xf numFmtId="0" fontId="1" fillId="4" borderId="0" xfId="0" applyFont="1" applyFill="1"/>
    <xf numFmtId="164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64" fontId="5" fillId="0" borderId="0" xfId="1" applyNumberFormat="1" applyFont="1" applyFill="1" applyBorder="1" applyAlignment="1">
      <alignment horizontal="center"/>
    </xf>
    <xf numFmtId="166" fontId="22" fillId="0" borderId="1" xfId="0" applyNumberFormat="1" applyFont="1" applyBorder="1" applyAlignment="1">
      <alignment horizontal="center" vertical="center" wrapText="1"/>
    </xf>
    <xf numFmtId="166" fontId="25" fillId="5" borderId="1" xfId="0" applyNumberFormat="1" applyFont="1" applyFill="1" applyBorder="1" applyAlignment="1">
      <alignment horizontal="center" vertical="center" wrapText="1"/>
    </xf>
    <xf numFmtId="166" fontId="0" fillId="5" borderId="1" xfId="0" applyNumberFormat="1" applyFill="1" applyBorder="1" applyAlignment="1">
      <alignment horizontal="center" vertical="center" wrapText="1"/>
    </xf>
    <xf numFmtId="43" fontId="9" fillId="7" borderId="1" xfId="1" applyFont="1" applyFill="1" applyBorder="1" applyAlignment="1">
      <alignment horizontal="center" vertical="center" wrapText="1"/>
    </xf>
    <xf numFmtId="5" fontId="9" fillId="7" borderId="1" xfId="1" applyNumberFormat="1" applyFont="1" applyFill="1" applyBorder="1" applyAlignment="1">
      <alignment horizontal="center" vertical="center" wrapText="1"/>
    </xf>
    <xf numFmtId="5" fontId="0" fillId="0" borderId="0" xfId="0" applyNumberFormat="1" applyAlignment="1">
      <alignment horizontal="center"/>
    </xf>
    <xf numFmtId="164" fontId="9" fillId="4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9" fillId="3" borderId="18" xfId="0" applyNumberFormat="1" applyFont="1" applyFill="1" applyBorder="1" applyAlignment="1">
      <alignment horizontal="center"/>
    </xf>
    <xf numFmtId="164" fontId="9" fillId="3" borderId="21" xfId="0" applyNumberFormat="1" applyFont="1" applyFill="1" applyBorder="1" applyAlignment="1">
      <alignment horizontal="center"/>
    </xf>
    <xf numFmtId="0" fontId="20" fillId="0" borderId="23" xfId="0" applyFont="1" applyBorder="1" applyAlignment="1">
      <alignment horizontal="center"/>
    </xf>
    <xf numFmtId="43" fontId="11" fillId="0" borderId="24" xfId="1" applyFont="1" applyBorder="1" applyAlignment="1">
      <alignment horizontal="center" vertical="center"/>
    </xf>
    <xf numFmtId="43" fontId="11" fillId="0" borderId="25" xfId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68C8-87B4-4F75-A22F-4378895EDD98}">
  <sheetPr>
    <tabColor rgb="FFFFFF00"/>
  </sheetPr>
  <dimension ref="A1:E14"/>
  <sheetViews>
    <sheetView zoomScale="172" zoomScaleNormal="172" zoomScaleSheetLayoutView="86" workbookViewId="0">
      <selection activeCell="C8" sqref="C8"/>
    </sheetView>
  </sheetViews>
  <sheetFormatPr defaultColWidth="8.77734375" defaultRowHeight="15.6" x14ac:dyDescent="0.3"/>
  <cols>
    <col min="1" max="1" width="14.77734375" customWidth="1"/>
    <col min="2" max="2" width="31.77734375" customWidth="1"/>
    <col min="3" max="3" width="18.5546875" style="37" bestFit="1" customWidth="1"/>
    <col min="4" max="4" width="19.21875" style="31" bestFit="1" customWidth="1"/>
    <col min="5" max="5" width="18.5546875" style="33" bestFit="1" customWidth="1"/>
  </cols>
  <sheetData>
    <row r="1" spans="1:5" ht="16.05" customHeight="1" thickBot="1" x14ac:dyDescent="0.35">
      <c r="A1" s="151" t="s">
        <v>142</v>
      </c>
      <c r="B1" s="151"/>
      <c r="C1" s="151"/>
      <c r="D1" s="151"/>
      <c r="E1" s="151"/>
    </row>
    <row r="2" spans="1:5" ht="14.4" x14ac:dyDescent="0.3">
      <c r="A2" s="123"/>
      <c r="B2" s="53" t="s">
        <v>69</v>
      </c>
      <c r="C2" s="124" t="s">
        <v>68</v>
      </c>
      <c r="D2" s="125" t="s">
        <v>140</v>
      </c>
      <c r="E2" s="91" t="s">
        <v>141</v>
      </c>
    </row>
    <row r="3" spans="1:5" ht="52.8" x14ac:dyDescent="0.3">
      <c r="A3" s="126" t="s">
        <v>63</v>
      </c>
      <c r="B3" s="45" t="s">
        <v>87</v>
      </c>
      <c r="C3" s="46">
        <v>1.2E-2</v>
      </c>
      <c r="D3" s="129">
        <f>100000*C3</f>
        <v>1200</v>
      </c>
      <c r="E3" s="127">
        <f>D3/3</f>
        <v>400</v>
      </c>
    </row>
    <row r="4" spans="1:5" ht="75.75" customHeight="1" x14ac:dyDescent="0.3">
      <c r="A4" s="49" t="s">
        <v>64</v>
      </c>
      <c r="B4" s="45" t="s">
        <v>71</v>
      </c>
      <c r="C4" s="46">
        <v>8.0000000000000002E-3</v>
      </c>
      <c r="D4" s="129">
        <f>100000*C4</f>
        <v>800</v>
      </c>
      <c r="E4" s="127">
        <f>D4/3</f>
        <v>266.66666666666669</v>
      </c>
    </row>
    <row r="5" spans="1:5" ht="52.8" x14ac:dyDescent="0.3">
      <c r="A5" s="49" t="s">
        <v>65</v>
      </c>
      <c r="B5" s="45" t="s">
        <v>72</v>
      </c>
      <c r="C5" s="46">
        <v>1.2999999999999999E-2</v>
      </c>
      <c r="D5" s="129">
        <f>100000*C5</f>
        <v>1300</v>
      </c>
      <c r="E5" s="127">
        <f>D5/3</f>
        <v>433.33333333333331</v>
      </c>
    </row>
    <row r="6" spans="1:5" ht="26.4" x14ac:dyDescent="0.3">
      <c r="A6" s="49" t="s">
        <v>66</v>
      </c>
      <c r="B6" s="45" t="s">
        <v>73</v>
      </c>
      <c r="C6" s="46">
        <v>1.0999999999999999E-2</v>
      </c>
      <c r="D6" s="129">
        <f>100000*C6</f>
        <v>1100</v>
      </c>
      <c r="E6" s="127">
        <f>D6/3</f>
        <v>366.66666666666669</v>
      </c>
    </row>
    <row r="7" spans="1:5" ht="15" thickBot="1" x14ac:dyDescent="0.35">
      <c r="A7" s="50" t="s">
        <v>67</v>
      </c>
      <c r="B7" s="51" t="s">
        <v>74</v>
      </c>
      <c r="C7" s="128">
        <v>8.9999999999999993E-3</v>
      </c>
      <c r="D7" s="130">
        <f>100000*C7</f>
        <v>899.99999999999989</v>
      </c>
      <c r="E7" s="127">
        <f>D7/3</f>
        <v>299.99999999999994</v>
      </c>
    </row>
    <row r="8" spans="1:5" x14ac:dyDescent="0.3">
      <c r="A8" s="4"/>
      <c r="B8" s="5"/>
      <c r="C8" s="6"/>
    </row>
    <row r="9" spans="1:5" x14ac:dyDescent="0.3">
      <c r="C9" s="32"/>
    </row>
    <row r="10" spans="1:5" x14ac:dyDescent="0.3">
      <c r="A10" s="1"/>
      <c r="C10" s="32"/>
    </row>
    <row r="11" spans="1:5" x14ac:dyDescent="0.3">
      <c r="C11" s="32"/>
    </row>
    <row r="12" spans="1:5" x14ac:dyDescent="0.3">
      <c r="A12" s="1"/>
      <c r="C12" s="32"/>
    </row>
    <row r="13" spans="1:5" x14ac:dyDescent="0.3">
      <c r="A13" s="1"/>
      <c r="C13" s="32"/>
    </row>
    <row r="14" spans="1:5" x14ac:dyDescent="0.3">
      <c r="A14" s="1"/>
    </row>
  </sheetData>
  <mergeCells count="1">
    <mergeCell ref="A1:E1"/>
  </mergeCells>
  <pageMargins left="0" right="0" top="0" bottom="0" header="0.3" footer="0.3"/>
  <pageSetup scale="74" orientation="portrait" r:id="rId1"/>
  <headerFooter>
    <oddHeader xml:space="preserve">&amp;CCentre Hill Courts Condo
Budget for 2021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4A41-D2F4-47D0-BD85-E7316F3D03AB}">
  <sheetPr>
    <tabColor rgb="FFFFFF00"/>
  </sheetPr>
  <dimension ref="A1:K58"/>
  <sheetViews>
    <sheetView view="pageBreakPreview" zoomScale="86" zoomScaleNormal="86" zoomScaleSheetLayoutView="86" workbookViewId="0">
      <selection activeCell="E4" sqref="E4"/>
    </sheetView>
  </sheetViews>
  <sheetFormatPr defaultColWidth="8.77734375" defaultRowHeight="15.6" x14ac:dyDescent="0.3"/>
  <cols>
    <col min="1" max="1" width="14.77734375" customWidth="1"/>
    <col min="2" max="2" width="31.77734375" customWidth="1"/>
    <col min="3" max="3" width="18.5546875" style="37" bestFit="1" customWidth="1"/>
    <col min="4" max="4" width="19.21875" style="31" bestFit="1" customWidth="1"/>
    <col min="5" max="5" width="18.5546875" style="33" bestFit="1" customWidth="1"/>
    <col min="6" max="6" width="14.77734375" customWidth="1"/>
    <col min="7" max="7" width="13.44140625" customWidth="1"/>
    <col min="8" max="8" width="12.44140625" customWidth="1"/>
    <col min="9" max="9" width="13.5546875" customWidth="1"/>
    <col min="10" max="10" width="11.21875" bestFit="1" customWidth="1"/>
    <col min="11" max="11" width="12.44140625" bestFit="1" customWidth="1"/>
  </cols>
  <sheetData>
    <row r="1" spans="1:9" ht="15.75" customHeight="1" x14ac:dyDescent="0.3">
      <c r="B1" s="151" t="s">
        <v>133</v>
      </c>
      <c r="C1" s="151"/>
      <c r="D1" s="151"/>
      <c r="E1" s="151"/>
    </row>
    <row r="2" spans="1:9" ht="35.1" customHeight="1" x14ac:dyDescent="0.3">
      <c r="B2" s="136"/>
      <c r="C2" s="136"/>
      <c r="D2" s="136"/>
      <c r="E2" s="136"/>
    </row>
    <row r="3" spans="1:9" ht="33.75" customHeight="1" x14ac:dyDescent="0.3">
      <c r="A3" s="3" t="s">
        <v>62</v>
      </c>
      <c r="B3" s="2"/>
      <c r="C3" s="64" t="s">
        <v>131</v>
      </c>
      <c r="D3" s="65" t="s">
        <v>132</v>
      </c>
      <c r="E3" s="64" t="s">
        <v>155</v>
      </c>
    </row>
    <row r="4" spans="1:9" x14ac:dyDescent="0.3">
      <c r="A4" s="1"/>
      <c r="B4" s="1" t="s">
        <v>120</v>
      </c>
      <c r="C4" s="86">
        <v>232950</v>
      </c>
      <c r="D4" s="82">
        <v>260000</v>
      </c>
      <c r="E4" s="86">
        <f>K52</f>
        <v>275500</v>
      </c>
      <c r="G4" s="139" t="s">
        <v>144</v>
      </c>
    </row>
    <row r="5" spans="1:9" x14ac:dyDescent="0.3">
      <c r="A5" s="1"/>
      <c r="B5" s="1" t="s">
        <v>134</v>
      </c>
      <c r="C5" s="86">
        <v>0</v>
      </c>
      <c r="D5" s="82">
        <v>186000</v>
      </c>
      <c r="E5" s="86">
        <v>190000</v>
      </c>
    </row>
    <row r="6" spans="1:9" x14ac:dyDescent="0.3">
      <c r="A6" s="1"/>
      <c r="B6" s="1" t="s">
        <v>119</v>
      </c>
      <c r="C6" s="86">
        <v>600</v>
      </c>
      <c r="D6" s="82">
        <v>30</v>
      </c>
      <c r="E6" s="86">
        <v>20</v>
      </c>
    </row>
    <row r="7" spans="1:9" x14ac:dyDescent="0.3">
      <c r="A7" s="1"/>
      <c r="B7" s="1" t="s">
        <v>116</v>
      </c>
      <c r="C7" s="82">
        <v>650</v>
      </c>
      <c r="D7" s="82">
        <v>850</v>
      </c>
      <c r="E7" s="82">
        <v>800</v>
      </c>
    </row>
    <row r="8" spans="1:9" x14ac:dyDescent="0.3">
      <c r="A8" s="1"/>
      <c r="B8" s="1" t="s">
        <v>125</v>
      </c>
      <c r="C8" s="82">
        <v>0</v>
      </c>
      <c r="D8" s="82">
        <v>150000</v>
      </c>
      <c r="E8" s="82">
        <v>0</v>
      </c>
      <c r="I8" s="79">
        <f>E4+E6+E7+E10</f>
        <v>280520</v>
      </c>
    </row>
    <row r="9" spans="1:9" x14ac:dyDescent="0.3">
      <c r="A9" s="1"/>
      <c r="B9" s="1" t="s">
        <v>47</v>
      </c>
      <c r="C9" s="116">
        <v>30742</v>
      </c>
      <c r="D9" s="82">
        <v>30742</v>
      </c>
      <c r="E9" s="116">
        <f>'reserves 2021'!J12</f>
        <v>30742.105263157893</v>
      </c>
    </row>
    <row r="10" spans="1:9" ht="16.2" thickBot="1" x14ac:dyDescent="0.35">
      <c r="A10" s="1"/>
      <c r="B10" s="1" t="s">
        <v>8</v>
      </c>
      <c r="C10" s="84">
        <v>500</v>
      </c>
      <c r="D10" s="84">
        <v>4200</v>
      </c>
      <c r="E10" s="84">
        <v>4200</v>
      </c>
      <c r="G10" s="139" t="s">
        <v>143</v>
      </c>
    </row>
    <row r="11" spans="1:9" x14ac:dyDescent="0.3">
      <c r="A11" s="4" t="s">
        <v>1</v>
      </c>
      <c r="B11" s="4"/>
      <c r="C11" s="86">
        <f>SUM(C4:C10)</f>
        <v>265442</v>
      </c>
      <c r="D11" s="143">
        <f>SUM(D4:D10)</f>
        <v>631822</v>
      </c>
      <c r="E11" s="86">
        <f>SUM(E4:E10)</f>
        <v>501262.10526315786</v>
      </c>
      <c r="G11" t="s">
        <v>150</v>
      </c>
    </row>
    <row r="12" spans="1:9" x14ac:dyDescent="0.3">
      <c r="A12" s="4" t="s">
        <v>2</v>
      </c>
      <c r="B12" s="4"/>
      <c r="C12" s="143"/>
      <c r="D12" s="40"/>
      <c r="E12" s="143">
        <f>E4+E6+E7+E10</f>
        <v>280520</v>
      </c>
      <c r="G12" s="139" t="s">
        <v>145</v>
      </c>
    </row>
    <row r="13" spans="1:9" x14ac:dyDescent="0.3">
      <c r="A13" s="4" t="s">
        <v>81</v>
      </c>
      <c r="B13" s="1"/>
      <c r="C13" s="143"/>
      <c r="D13" s="40"/>
      <c r="E13" s="143"/>
    </row>
    <row r="14" spans="1:9" x14ac:dyDescent="0.3">
      <c r="A14" s="34"/>
      <c r="B14" s="1" t="s">
        <v>9</v>
      </c>
      <c r="C14" s="82">
        <v>1500</v>
      </c>
      <c r="D14" s="83">
        <v>4100</v>
      </c>
      <c r="E14" s="82">
        <v>1500</v>
      </c>
      <c r="G14" t="s">
        <v>148</v>
      </c>
    </row>
    <row r="15" spans="1:9" x14ac:dyDescent="0.3">
      <c r="A15" s="34"/>
      <c r="B15" s="1" t="s">
        <v>122</v>
      </c>
      <c r="C15" s="82">
        <v>650</v>
      </c>
      <c r="D15" s="83">
        <v>520</v>
      </c>
      <c r="E15" s="82">
        <v>550</v>
      </c>
    </row>
    <row r="16" spans="1:9" x14ac:dyDescent="0.3">
      <c r="A16" s="34"/>
      <c r="B16" s="1" t="s">
        <v>123</v>
      </c>
      <c r="C16" s="82">
        <v>1900</v>
      </c>
      <c r="D16" s="83">
        <v>1500</v>
      </c>
      <c r="E16" s="82">
        <v>1500</v>
      </c>
    </row>
    <row r="17" spans="1:5" x14ac:dyDescent="0.3">
      <c r="A17" s="34"/>
      <c r="B17" s="1" t="s">
        <v>6</v>
      </c>
      <c r="C17" s="82">
        <v>5000</v>
      </c>
      <c r="D17" s="83">
        <v>5000</v>
      </c>
      <c r="E17" s="82">
        <v>2500</v>
      </c>
    </row>
    <row r="18" spans="1:5" x14ac:dyDescent="0.3">
      <c r="A18" s="34"/>
      <c r="B18" s="1" t="s">
        <v>27</v>
      </c>
      <c r="C18" s="82">
        <v>4000</v>
      </c>
      <c r="D18" s="83">
        <v>3200</v>
      </c>
      <c r="E18" s="82">
        <v>3500</v>
      </c>
    </row>
    <row r="19" spans="1:5" x14ac:dyDescent="0.3">
      <c r="A19" s="34"/>
      <c r="B19" s="1" t="s">
        <v>30</v>
      </c>
      <c r="C19" s="82">
        <v>0</v>
      </c>
      <c r="D19" s="83">
        <v>227000</v>
      </c>
      <c r="E19" s="82">
        <v>227000</v>
      </c>
    </row>
    <row r="20" spans="1:5" x14ac:dyDescent="0.3">
      <c r="A20" s="34"/>
      <c r="B20" s="1" t="s">
        <v>139</v>
      </c>
      <c r="C20" s="82">
        <v>0</v>
      </c>
      <c r="D20" s="83">
        <f>641*5</f>
        <v>3205</v>
      </c>
      <c r="E20" s="82">
        <f>641*12</f>
        <v>7692</v>
      </c>
    </row>
    <row r="21" spans="1:5" x14ac:dyDescent="0.3">
      <c r="A21" s="34"/>
      <c r="B21" s="1" t="s">
        <v>26</v>
      </c>
      <c r="C21" s="82">
        <v>100</v>
      </c>
      <c r="D21" s="83">
        <v>61.25</v>
      </c>
      <c r="E21" s="82">
        <v>100</v>
      </c>
    </row>
    <row r="22" spans="1:5" x14ac:dyDescent="0.3">
      <c r="A22" s="34"/>
      <c r="B22" s="1" t="s">
        <v>28</v>
      </c>
      <c r="C22" s="82">
        <v>900</v>
      </c>
      <c r="D22" s="82">
        <v>1100</v>
      </c>
      <c r="E22" s="82">
        <v>800</v>
      </c>
    </row>
    <row r="23" spans="1:5" x14ac:dyDescent="0.3">
      <c r="A23" s="1"/>
      <c r="B23" s="1" t="s">
        <v>11</v>
      </c>
      <c r="C23" s="82">
        <v>89000</v>
      </c>
      <c r="D23" s="82">
        <v>112000</v>
      </c>
      <c r="E23" s="82">
        <v>122000</v>
      </c>
    </row>
    <row r="24" spans="1:5" x14ac:dyDescent="0.3">
      <c r="A24" s="4" t="s">
        <v>22</v>
      </c>
      <c r="B24" s="1" t="s">
        <v>121</v>
      </c>
      <c r="C24" s="82">
        <v>100</v>
      </c>
      <c r="D24" s="82">
        <v>6</v>
      </c>
      <c r="E24" s="82">
        <v>50</v>
      </c>
    </row>
    <row r="25" spans="1:5" x14ac:dyDescent="0.3">
      <c r="A25" s="35"/>
      <c r="B25" s="1" t="s">
        <v>3</v>
      </c>
      <c r="C25" s="82">
        <v>7500</v>
      </c>
      <c r="D25" s="83">
        <v>8400</v>
      </c>
      <c r="E25" s="82">
        <v>8600</v>
      </c>
    </row>
    <row r="26" spans="1:5" x14ac:dyDescent="0.3">
      <c r="A26" s="35"/>
      <c r="B26" s="1" t="s">
        <v>4</v>
      </c>
      <c r="C26" s="82">
        <v>58000</v>
      </c>
      <c r="D26" s="83">
        <v>48500</v>
      </c>
      <c r="E26" s="82">
        <v>50000</v>
      </c>
    </row>
    <row r="27" spans="1:5" x14ac:dyDescent="0.3">
      <c r="A27" s="4" t="s">
        <v>21</v>
      </c>
      <c r="B27" s="1"/>
      <c r="C27" s="82"/>
      <c r="D27" s="83"/>
      <c r="E27" s="82"/>
    </row>
    <row r="28" spans="1:5" x14ac:dyDescent="0.3">
      <c r="A28" s="34"/>
      <c r="B28" s="1" t="s">
        <v>24</v>
      </c>
      <c r="C28" s="82">
        <v>4800</v>
      </c>
      <c r="D28" s="83">
        <f>400*12</f>
        <v>4800</v>
      </c>
      <c r="E28" s="82">
        <v>5000</v>
      </c>
    </row>
    <row r="29" spans="1:5" x14ac:dyDescent="0.3">
      <c r="A29" s="34"/>
      <c r="B29" s="1" t="s">
        <v>19</v>
      </c>
      <c r="C29" s="82">
        <v>2800</v>
      </c>
      <c r="D29" s="83">
        <v>4800</v>
      </c>
      <c r="E29" s="82">
        <v>5000</v>
      </c>
    </row>
    <row r="30" spans="1:5" x14ac:dyDescent="0.3">
      <c r="A30" s="34"/>
      <c r="B30" s="1" t="s">
        <v>7</v>
      </c>
      <c r="C30" s="82">
        <v>14400</v>
      </c>
      <c r="D30" s="83">
        <f>1200*12</f>
        <v>14400</v>
      </c>
      <c r="E30" s="82">
        <v>14400</v>
      </c>
    </row>
    <row r="31" spans="1:5" x14ac:dyDescent="0.3">
      <c r="A31" s="34"/>
      <c r="B31" s="1" t="s">
        <v>5</v>
      </c>
      <c r="C31" s="82">
        <v>10000</v>
      </c>
      <c r="D31" s="83">
        <f>950*12</f>
        <v>11400</v>
      </c>
      <c r="E31" s="82">
        <v>12000</v>
      </c>
    </row>
    <row r="32" spans="1:5" x14ac:dyDescent="0.3">
      <c r="A32" s="34"/>
      <c r="B32" s="1" t="s">
        <v>14</v>
      </c>
      <c r="C32" s="82">
        <v>15400</v>
      </c>
      <c r="D32" s="83">
        <f>288*52</f>
        <v>14976</v>
      </c>
      <c r="E32" s="82">
        <v>16000</v>
      </c>
    </row>
    <row r="33" spans="1:9" x14ac:dyDescent="0.3">
      <c r="A33" s="3" t="s">
        <v>20</v>
      </c>
      <c r="B33" s="3"/>
      <c r="C33" s="82"/>
      <c r="D33" s="83"/>
      <c r="E33" s="82"/>
    </row>
    <row r="34" spans="1:9" x14ac:dyDescent="0.3">
      <c r="A34" s="34"/>
      <c r="B34" s="1" t="s">
        <v>13</v>
      </c>
      <c r="C34" s="82">
        <v>6500</v>
      </c>
      <c r="D34" s="83">
        <v>2300</v>
      </c>
      <c r="E34" s="82">
        <v>8500</v>
      </c>
      <c r="G34" s="139" t="s">
        <v>149</v>
      </c>
    </row>
    <row r="35" spans="1:9" x14ac:dyDescent="0.3">
      <c r="A35" s="34"/>
      <c r="B35" s="1" t="s">
        <v>35</v>
      </c>
      <c r="C35" s="82">
        <v>1000</v>
      </c>
      <c r="D35" s="83">
        <v>1900</v>
      </c>
      <c r="E35" s="82">
        <v>1500</v>
      </c>
    </row>
    <row r="36" spans="1:9" x14ac:dyDescent="0.3">
      <c r="A36" s="34"/>
      <c r="B36" s="1" t="s">
        <v>23</v>
      </c>
      <c r="C36" s="82">
        <v>1400</v>
      </c>
      <c r="D36" s="83">
        <v>1500</v>
      </c>
      <c r="E36" s="82">
        <v>1500</v>
      </c>
      <c r="H36" s="79">
        <f>260200-E41</f>
        <v>-242300</v>
      </c>
    </row>
    <row r="37" spans="1:9" x14ac:dyDescent="0.3">
      <c r="A37" s="34"/>
      <c r="B37" s="1" t="s">
        <v>12</v>
      </c>
      <c r="C37" s="82">
        <v>2500</v>
      </c>
      <c r="D37" s="83">
        <v>0</v>
      </c>
      <c r="E37" s="82">
        <v>2500</v>
      </c>
    </row>
    <row r="38" spans="1:9" x14ac:dyDescent="0.3">
      <c r="A38" s="34"/>
      <c r="B38" s="1" t="s">
        <v>34</v>
      </c>
      <c r="C38" s="82">
        <v>500</v>
      </c>
      <c r="D38" s="83">
        <v>1400</v>
      </c>
      <c r="E38" s="82">
        <v>2500</v>
      </c>
    </row>
    <row r="39" spans="1:9" x14ac:dyDescent="0.3">
      <c r="A39" s="34"/>
      <c r="B39" s="1" t="s">
        <v>33</v>
      </c>
      <c r="C39" s="82">
        <v>5000</v>
      </c>
      <c r="D39" s="83">
        <v>1500</v>
      </c>
      <c r="E39" s="82">
        <v>1500</v>
      </c>
    </row>
    <row r="40" spans="1:9" ht="16.2" thickBot="1" x14ac:dyDescent="0.35">
      <c r="A40" s="34"/>
      <c r="B40" s="1" t="s">
        <v>31</v>
      </c>
      <c r="C40" s="84">
        <v>2000</v>
      </c>
      <c r="D40" s="85">
        <v>2200</v>
      </c>
      <c r="E40" s="84">
        <v>14000</v>
      </c>
      <c r="G40" s="139" t="s">
        <v>151</v>
      </c>
    </row>
    <row r="41" spans="1:9" x14ac:dyDescent="0.3">
      <c r="A41" s="4" t="s">
        <v>15</v>
      </c>
      <c r="B41" s="4"/>
      <c r="C41" s="66">
        <f>C40+C39+C38+C37+C36+C35+C34+C32+C31+C30+C28+C29+C26+C25+C23+C22+C21+C19+C18+C17+C15+C14</f>
        <v>232950</v>
      </c>
      <c r="D41" s="66">
        <f>D40+D39+D38+D37+D36+D35+D34+D32+D31+D30+D28+D29+D26+D25+D23+D22+D21+D19+D18+D17+D15+D14</f>
        <v>471057.25</v>
      </c>
      <c r="E41" s="66">
        <f>E40+E39+E38+E37+E36+E35+E34+E32+E31+E30+E28+E29+E26+E25+E23+E22+E21+E19+E18+E17+E15+E14+E24+E16</f>
        <v>502500</v>
      </c>
    </row>
    <row r="42" spans="1:9" x14ac:dyDescent="0.3">
      <c r="A42" s="4"/>
      <c r="B42" s="1" t="s">
        <v>47</v>
      </c>
      <c r="C42" s="86">
        <v>30742</v>
      </c>
      <c r="D42" s="82">
        <f>2561.84*12</f>
        <v>30742.080000000002</v>
      </c>
      <c r="E42" s="86"/>
    </row>
    <row r="43" spans="1:9" x14ac:dyDescent="0.3">
      <c r="A43" s="4"/>
      <c r="B43" s="1" t="s">
        <v>59</v>
      </c>
      <c r="C43" s="86"/>
      <c r="D43" s="82">
        <v>203500</v>
      </c>
      <c r="E43" s="86"/>
    </row>
    <row r="44" spans="1:9" x14ac:dyDescent="0.3">
      <c r="A44" s="178" t="s">
        <v>93</v>
      </c>
      <c r="B44" s="178"/>
      <c r="C44" s="67">
        <f>SUM(C41:C43)</f>
        <v>263692</v>
      </c>
      <c r="D44" s="81">
        <f>SUM(D41:D43)</f>
        <v>705299.33000000007</v>
      </c>
      <c r="E44" s="67">
        <f>SUM(E41:E43)-E19</f>
        <v>275500</v>
      </c>
      <c r="F44" s="79"/>
    </row>
    <row r="45" spans="1:9" ht="16.2" thickBot="1" x14ac:dyDescent="0.35"/>
    <row r="46" spans="1:9" ht="57" customHeight="1" x14ac:dyDescent="0.3">
      <c r="A46" s="123"/>
      <c r="B46" s="53" t="s">
        <v>69</v>
      </c>
      <c r="C46" s="124" t="s">
        <v>68</v>
      </c>
      <c r="D46" s="125" t="s">
        <v>135</v>
      </c>
      <c r="E46" s="91" t="s">
        <v>129</v>
      </c>
      <c r="F46" s="131" t="s">
        <v>138</v>
      </c>
      <c r="G46" s="134"/>
      <c r="H46" s="140" t="s">
        <v>146</v>
      </c>
    </row>
    <row r="47" spans="1:9" ht="52.8" x14ac:dyDescent="0.3">
      <c r="A47" s="126" t="s">
        <v>63</v>
      </c>
      <c r="B47" s="45" t="s">
        <v>87</v>
      </c>
      <c r="C47" s="46">
        <v>1.2E-2</v>
      </c>
      <c r="D47" s="129">
        <f>(E44*C47)/12</f>
        <v>275.5</v>
      </c>
      <c r="E47" s="127">
        <f>'reserves 2022'!I15</f>
        <v>31.205263157894734</v>
      </c>
      <c r="F47" s="132">
        <f>SUM(D47+E47)</f>
        <v>306.70526315789471</v>
      </c>
      <c r="G47" s="138">
        <v>261.41853947368423</v>
      </c>
      <c r="H47" s="138">
        <v>261.41853947368423</v>
      </c>
      <c r="I47" s="78">
        <f>D47*24*12</f>
        <v>79344</v>
      </c>
    </row>
    <row r="48" spans="1:9" ht="75.75" customHeight="1" x14ac:dyDescent="0.3">
      <c r="A48" s="49" t="s">
        <v>64</v>
      </c>
      <c r="B48" s="45" t="s">
        <v>71</v>
      </c>
      <c r="C48" s="46">
        <v>8.0000000000000002E-3</v>
      </c>
      <c r="D48" s="129">
        <f>SUM(E44*C48)/12</f>
        <v>183.66666666666666</v>
      </c>
      <c r="E48" s="127">
        <f>'reserves 2022'!I16</f>
        <v>20.803508771929824</v>
      </c>
      <c r="F48" s="133">
        <f>D48+E48</f>
        <v>204.47017543859647</v>
      </c>
      <c r="G48" s="138">
        <v>174.27902631578948</v>
      </c>
      <c r="H48" s="138">
        <v>174.27902631578948</v>
      </c>
      <c r="I48" s="78">
        <f>D48*12*24</f>
        <v>52896</v>
      </c>
    </row>
    <row r="49" spans="1:11" ht="52.8" x14ac:dyDescent="0.3">
      <c r="A49" s="49" t="s">
        <v>65</v>
      </c>
      <c r="B49" s="45" t="s">
        <v>72</v>
      </c>
      <c r="C49" s="46">
        <v>1.2999999999999999E-2</v>
      </c>
      <c r="D49" s="129">
        <f>SUM(E44*C49)/12</f>
        <v>298.45833333333331</v>
      </c>
      <c r="E49" s="127">
        <f>'reserves 2022'!I17</f>
        <v>33.805701754385964</v>
      </c>
      <c r="F49" s="133">
        <f>D49+E49</f>
        <v>332.26403508771926</v>
      </c>
      <c r="G49" s="138">
        <v>283.20341776315786</v>
      </c>
      <c r="H49" s="138">
        <v>283.20341776315786</v>
      </c>
      <c r="I49" s="78">
        <f>D49*12*24</f>
        <v>85956</v>
      </c>
    </row>
    <row r="50" spans="1:11" ht="26.4" x14ac:dyDescent="0.3">
      <c r="A50" s="49" t="s">
        <v>66</v>
      </c>
      <c r="B50" s="45" t="s">
        <v>73</v>
      </c>
      <c r="C50" s="46">
        <v>1.0999999999999999E-2</v>
      </c>
      <c r="D50" s="129">
        <f>SUM(E44*C50)/12</f>
        <v>252.54166666666666</v>
      </c>
      <c r="E50" s="127">
        <f>'reserves 2022'!I18</f>
        <v>28.604824561403507</v>
      </c>
      <c r="F50" s="133">
        <f>D50+E50</f>
        <v>281.14649122807015</v>
      </c>
      <c r="G50" s="138">
        <v>239.6336611842105</v>
      </c>
      <c r="H50" s="138">
        <v>239.6336611842105</v>
      </c>
      <c r="I50" s="78">
        <f>D50*14*12</f>
        <v>42427</v>
      </c>
    </row>
    <row r="51" spans="1:11" ht="15" thickBot="1" x14ac:dyDescent="0.35">
      <c r="A51" s="50" t="s">
        <v>67</v>
      </c>
      <c r="B51" s="51" t="s">
        <v>74</v>
      </c>
      <c r="C51" s="128">
        <v>8.9999999999999993E-3</v>
      </c>
      <c r="D51" s="130">
        <f>SUM(E44*C51)/12</f>
        <v>206.625</v>
      </c>
      <c r="E51" s="127">
        <f>'reserves 2022'!I19</f>
        <v>23.403947368421054</v>
      </c>
      <c r="F51" s="133">
        <f>D51+E51</f>
        <v>230.02894736842106</v>
      </c>
      <c r="G51" s="138">
        <v>196.06390460526313</v>
      </c>
      <c r="H51" s="138">
        <v>196.06390460526313</v>
      </c>
      <c r="I51" s="78">
        <f>D51*6*12</f>
        <v>14877</v>
      </c>
    </row>
    <row r="52" spans="1:11" x14ac:dyDescent="0.3">
      <c r="A52" s="4"/>
      <c r="B52" s="5"/>
      <c r="C52" s="6"/>
      <c r="I52" s="61"/>
      <c r="J52" s="79"/>
      <c r="K52" s="79">
        <f>SUM(I47:I51)</f>
        <v>275500</v>
      </c>
    </row>
    <row r="53" spans="1:11" x14ac:dyDescent="0.3">
      <c r="C53" s="32"/>
      <c r="J53" s="79"/>
      <c r="K53" s="79" t="e">
        <f>K52-#REF!</f>
        <v>#REF!</v>
      </c>
    </row>
    <row r="54" spans="1:11" x14ac:dyDescent="0.3">
      <c r="A54" s="1"/>
      <c r="C54" s="32"/>
    </row>
    <row r="55" spans="1:11" x14ac:dyDescent="0.3">
      <c r="C55" s="32"/>
    </row>
    <row r="56" spans="1:11" x14ac:dyDescent="0.3">
      <c r="A56" s="1"/>
      <c r="C56" s="32"/>
    </row>
    <row r="57" spans="1:11" x14ac:dyDescent="0.3">
      <c r="A57" s="1"/>
      <c r="C57" s="32"/>
    </row>
    <row r="58" spans="1:11" x14ac:dyDescent="0.3">
      <c r="A58" s="1"/>
    </row>
  </sheetData>
  <mergeCells count="2">
    <mergeCell ref="B1:E1"/>
    <mergeCell ref="A44:B44"/>
  </mergeCells>
  <pageMargins left="0" right="0" top="0" bottom="0" header="0.3" footer="0.3"/>
  <pageSetup scale="74" orientation="portrait" r:id="rId1"/>
  <headerFooter>
    <oddHeader xml:space="preserve">&amp;CCentre Hill Courts Condo
Budget for 2022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1E29-6367-4DDE-A137-22EF01DC0EA3}">
  <sheetPr>
    <tabColor rgb="FFFFFF00"/>
  </sheetPr>
  <dimension ref="A1:P22"/>
  <sheetViews>
    <sheetView view="pageBreakPreview" topLeftCell="B9" zoomScale="118" zoomScaleNormal="100" zoomScaleSheetLayoutView="118" workbookViewId="0">
      <selection activeCell="J15" sqref="J15"/>
    </sheetView>
  </sheetViews>
  <sheetFormatPr defaultColWidth="9" defaultRowHeight="14.4" x14ac:dyDescent="0.3"/>
  <cols>
    <col min="1" max="1" width="17" bestFit="1" customWidth="1"/>
    <col min="2" max="2" width="11" bestFit="1" customWidth="1"/>
    <col min="3" max="3" width="16.44140625" bestFit="1" customWidth="1"/>
    <col min="4" max="4" width="15.44140625" bestFit="1" customWidth="1"/>
    <col min="5" max="5" width="12.21875" bestFit="1" customWidth="1"/>
    <col min="6" max="6" width="14.5546875" customWidth="1"/>
    <col min="7" max="7" width="16.21875" bestFit="1" customWidth="1"/>
    <col min="8" max="8" width="18.5546875" customWidth="1"/>
    <col min="9" max="9" width="16.21875" bestFit="1" customWidth="1"/>
    <col min="10" max="10" width="24.21875" bestFit="1" customWidth="1"/>
    <col min="11" max="11" width="15.5546875" customWidth="1"/>
    <col min="13" max="13" width="22.44140625" customWidth="1"/>
    <col min="15" max="15" width="12.44140625" bestFit="1" customWidth="1"/>
  </cols>
  <sheetData>
    <row r="1" spans="1:16" ht="22.8" x14ac:dyDescent="0.4">
      <c r="A1" s="162" t="s">
        <v>152</v>
      </c>
      <c r="B1" s="162"/>
      <c r="C1" s="162"/>
      <c r="D1" s="162"/>
      <c r="E1" s="162"/>
      <c r="F1" s="162"/>
      <c r="G1" s="162"/>
      <c r="H1" s="162"/>
      <c r="I1" s="162"/>
    </row>
    <row r="2" spans="1:16" ht="25.5" customHeight="1" thickBot="1" x14ac:dyDescent="0.35"/>
    <row r="3" spans="1:16" ht="15.6" x14ac:dyDescent="0.3">
      <c r="A3" s="7" t="s">
        <v>36</v>
      </c>
      <c r="B3" s="8" t="s">
        <v>37</v>
      </c>
      <c r="C3" s="8" t="s">
        <v>37</v>
      </c>
      <c r="D3" s="8" t="s">
        <v>38</v>
      </c>
      <c r="E3" s="9" t="s">
        <v>39</v>
      </c>
      <c r="F3" s="8" t="s">
        <v>40</v>
      </c>
      <c r="G3" s="8" t="s">
        <v>41</v>
      </c>
      <c r="H3" s="163" t="s">
        <v>42</v>
      </c>
      <c r="I3" s="164"/>
      <c r="J3" s="10" t="s">
        <v>42</v>
      </c>
      <c r="M3" s="11"/>
      <c r="N3" s="12"/>
    </row>
    <row r="4" spans="1:16" ht="15.6" x14ac:dyDescent="0.3">
      <c r="A4" s="13"/>
      <c r="B4" s="14" t="s">
        <v>43</v>
      </c>
      <c r="C4" s="14" t="s">
        <v>44</v>
      </c>
      <c r="D4" s="14" t="s">
        <v>45</v>
      </c>
      <c r="E4" s="15" t="s">
        <v>46</v>
      </c>
      <c r="F4" s="14" t="s">
        <v>47</v>
      </c>
      <c r="G4" s="14" t="s">
        <v>42</v>
      </c>
      <c r="H4" s="165" t="s">
        <v>136</v>
      </c>
      <c r="I4" s="166"/>
      <c r="J4" s="16" t="s">
        <v>137</v>
      </c>
      <c r="M4" s="11"/>
      <c r="N4" s="12"/>
    </row>
    <row r="5" spans="1:16" ht="15.6" x14ac:dyDescent="0.3">
      <c r="A5" s="13"/>
      <c r="B5" s="14"/>
      <c r="C5" s="14"/>
      <c r="D5" s="14"/>
      <c r="E5" s="15" t="s">
        <v>49</v>
      </c>
      <c r="F5" s="17">
        <v>44561</v>
      </c>
      <c r="G5" s="14" t="s">
        <v>50</v>
      </c>
      <c r="H5" s="165" t="s">
        <v>51</v>
      </c>
      <c r="I5" s="166"/>
      <c r="J5" s="16" t="s">
        <v>52</v>
      </c>
      <c r="M5" s="11"/>
      <c r="N5" s="12"/>
    </row>
    <row r="6" spans="1:16" ht="15.6" x14ac:dyDescent="0.3">
      <c r="A6" s="18" t="s">
        <v>53</v>
      </c>
      <c r="B6" s="19">
        <v>20</v>
      </c>
      <c r="C6" s="20">
        <v>650000</v>
      </c>
      <c r="D6" s="19">
        <v>19</v>
      </c>
      <c r="E6" s="21">
        <v>0.25</v>
      </c>
      <c r="F6" s="22">
        <f>SUM(F12*E6)</f>
        <v>32000</v>
      </c>
      <c r="G6" s="22">
        <f>SUM((C6-F6))</f>
        <v>618000</v>
      </c>
      <c r="H6" s="167">
        <f>SUM(G6/D6)</f>
        <v>32526.315789473683</v>
      </c>
      <c r="I6" s="168"/>
      <c r="J6" s="23">
        <f>C6/D6*0.2</f>
        <v>6842.105263157895</v>
      </c>
      <c r="M6" s="11"/>
      <c r="N6" s="12"/>
    </row>
    <row r="7" spans="1:16" ht="15.6" x14ac:dyDescent="0.3">
      <c r="A7" s="18" t="s">
        <v>107</v>
      </c>
      <c r="B7" s="19">
        <v>30</v>
      </c>
      <c r="C7" s="20">
        <v>500000</v>
      </c>
      <c r="D7" s="19">
        <v>29</v>
      </c>
      <c r="E7" s="21">
        <v>0.1</v>
      </c>
      <c r="F7" s="22">
        <f>SUM(F12*0.1)</f>
        <v>12800</v>
      </c>
      <c r="G7" s="22">
        <v>450000</v>
      </c>
      <c r="H7" s="167">
        <f>G7/50</f>
        <v>9000</v>
      </c>
      <c r="I7" s="168"/>
      <c r="J7" s="23">
        <f>H7*0.2</f>
        <v>1800</v>
      </c>
      <c r="M7" s="11"/>
      <c r="N7" s="12"/>
    </row>
    <row r="8" spans="1:16" ht="15.6" x14ac:dyDescent="0.3">
      <c r="A8" s="18" t="s">
        <v>58</v>
      </c>
      <c r="B8" s="19">
        <v>8</v>
      </c>
      <c r="C8" s="22">
        <v>50000</v>
      </c>
      <c r="D8" s="19">
        <v>3</v>
      </c>
      <c r="E8" s="21">
        <v>0.1</v>
      </c>
      <c r="F8" s="22">
        <f>SUM(F12*E8)</f>
        <v>12800</v>
      </c>
      <c r="G8" s="22">
        <f>SUM(C8-F8)</f>
        <v>37200</v>
      </c>
      <c r="H8" s="167">
        <f>SUM(G8/D8)</f>
        <v>12400</v>
      </c>
      <c r="I8" s="168"/>
      <c r="J8" s="23">
        <f>C8/D8*0.2</f>
        <v>3333.3333333333339</v>
      </c>
      <c r="M8" s="11"/>
      <c r="N8" s="12"/>
    </row>
    <row r="9" spans="1:16" ht="27" x14ac:dyDescent="0.3">
      <c r="A9" s="30" t="s">
        <v>59</v>
      </c>
      <c r="B9" s="19">
        <v>30</v>
      </c>
      <c r="C9" s="22">
        <v>150000</v>
      </c>
      <c r="D9" s="19">
        <v>20</v>
      </c>
      <c r="E9" s="21">
        <v>0.25</v>
      </c>
      <c r="F9" s="22">
        <f>SUM(F12*E9)</f>
        <v>32000</v>
      </c>
      <c r="G9" s="22">
        <f>SUM(C9-F9)</f>
        <v>118000</v>
      </c>
      <c r="H9" s="167">
        <f>SUM(G9/D9)</f>
        <v>5900</v>
      </c>
      <c r="I9" s="168"/>
      <c r="J9" s="23">
        <f>C9/D9*0.2</f>
        <v>1500</v>
      </c>
      <c r="M9" s="11"/>
      <c r="N9" s="12"/>
    </row>
    <row r="10" spans="1:16" ht="15.6" x14ac:dyDescent="0.3">
      <c r="A10" s="18" t="s">
        <v>54</v>
      </c>
      <c r="B10" s="19">
        <v>20</v>
      </c>
      <c r="C10" s="22">
        <v>80000</v>
      </c>
      <c r="D10" s="19">
        <v>2</v>
      </c>
      <c r="E10" s="21">
        <v>0.15</v>
      </c>
      <c r="F10" s="22">
        <f>SUM(F12*E10)</f>
        <v>19200</v>
      </c>
      <c r="G10" s="22">
        <f>SUM(C10-F10)</f>
        <v>60800</v>
      </c>
      <c r="H10" s="167">
        <f>SUM(G10/D10)</f>
        <v>30400</v>
      </c>
      <c r="I10" s="168"/>
      <c r="J10" s="24">
        <f>C10/D10*0.2</f>
        <v>8000</v>
      </c>
      <c r="M10" s="11" t="s">
        <v>104</v>
      </c>
      <c r="N10" s="12"/>
    </row>
    <row r="11" spans="1:16" x14ac:dyDescent="0.3">
      <c r="A11" s="18" t="s">
        <v>55</v>
      </c>
      <c r="B11" s="19">
        <v>8</v>
      </c>
      <c r="C11" s="22">
        <v>85000</v>
      </c>
      <c r="D11" s="19">
        <v>1</v>
      </c>
      <c r="E11" s="21">
        <v>0.15</v>
      </c>
      <c r="F11" s="22">
        <f>SUM(F12*E11)</f>
        <v>19200</v>
      </c>
      <c r="G11" s="22">
        <f>SUM(C11-F11)</f>
        <v>65800</v>
      </c>
      <c r="H11" s="167">
        <f>SUM(G11/D11)</f>
        <v>65800</v>
      </c>
      <c r="I11" s="168"/>
      <c r="J11" s="24">
        <f>C11/D11*0.2</f>
        <v>17000</v>
      </c>
      <c r="P11">
        <f>11150/12</f>
        <v>929.16666666666663</v>
      </c>
    </row>
    <row r="12" spans="1:16" ht="25.5" customHeight="1" thickBot="1" x14ac:dyDescent="0.35">
      <c r="A12" s="25" t="s">
        <v>56</v>
      </c>
      <c r="B12" s="26"/>
      <c r="C12" s="27">
        <f>SUM(C6:C11)</f>
        <v>1515000</v>
      </c>
      <c r="D12" s="26"/>
      <c r="E12" s="28">
        <f>SUM(E6:E11)</f>
        <v>1</v>
      </c>
      <c r="F12" s="112">
        <v>128000</v>
      </c>
      <c r="G12" s="27">
        <f>SUM(G6:G11)</f>
        <v>1349800</v>
      </c>
      <c r="H12" s="169">
        <f>SUM(H6:I11)</f>
        <v>156026.31578947368</v>
      </c>
      <c r="I12" s="170"/>
      <c r="J12" s="29">
        <f>SUM(J6:J11)</f>
        <v>38475.438596491229</v>
      </c>
      <c r="P12" t="s">
        <v>105</v>
      </c>
    </row>
    <row r="13" spans="1:16" ht="25.5" customHeight="1" x14ac:dyDescent="0.3">
      <c r="M13" s="79">
        <f>J12/12</f>
        <v>3206.2865497076023</v>
      </c>
    </row>
    <row r="14" spans="1:16" s="55" customFormat="1" ht="93.75" customHeight="1" x14ac:dyDescent="0.3">
      <c r="A14" s="113"/>
      <c r="B14" s="185" t="s">
        <v>69</v>
      </c>
      <c r="C14" s="185"/>
      <c r="D14" s="115" t="s">
        <v>68</v>
      </c>
      <c r="E14" s="186" t="s">
        <v>75</v>
      </c>
      <c r="F14" s="187"/>
      <c r="G14" s="115" t="s">
        <v>78</v>
      </c>
      <c r="H14" s="119" t="s">
        <v>76</v>
      </c>
      <c r="I14" s="115" t="s">
        <v>128</v>
      </c>
      <c r="J14" s="122" t="s">
        <v>126</v>
      </c>
      <c r="K14" s="142" t="s">
        <v>147</v>
      </c>
    </row>
    <row r="15" spans="1:16" s="55" customFormat="1" ht="81.75" customHeight="1" x14ac:dyDescent="0.3">
      <c r="A15" s="113" t="s">
        <v>63</v>
      </c>
      <c r="B15" s="188" t="s">
        <v>87</v>
      </c>
      <c r="C15" s="188"/>
      <c r="D15" s="188"/>
      <c r="E15" s="113">
        <v>1.2E-2</v>
      </c>
      <c r="F15" s="114">
        <f>'budget 2022'!D47</f>
        <v>275.5</v>
      </c>
      <c r="G15" s="114">
        <f>SUM(H12*E15/12)</f>
        <v>156.02631578947367</v>
      </c>
      <c r="H15" s="121">
        <f>SUM(F15+G15)</f>
        <v>431.52631578947364</v>
      </c>
      <c r="I15" s="114">
        <f>SUM(G15*0.2)</f>
        <v>31.205263157894734</v>
      </c>
      <c r="J15" s="120">
        <f>F15+I15</f>
        <v>306.70526315789471</v>
      </c>
      <c r="K15" s="141">
        <v>261.41853947368423</v>
      </c>
    </row>
    <row r="16" spans="1:16" s="55" customFormat="1" ht="60" customHeight="1" x14ac:dyDescent="0.3">
      <c r="A16" s="113" t="s">
        <v>64</v>
      </c>
      <c r="B16" s="188" t="s">
        <v>71</v>
      </c>
      <c r="C16" s="188"/>
      <c r="D16" s="188"/>
      <c r="E16" s="113">
        <v>8.0000000000000002E-3</v>
      </c>
      <c r="F16" s="114">
        <f>'budget 2022'!D48</f>
        <v>183.66666666666666</v>
      </c>
      <c r="G16" s="114">
        <f>SUM(H12*E16/12)</f>
        <v>104.01754385964911</v>
      </c>
      <c r="H16" s="121">
        <f>SUM(F16+G16)</f>
        <v>287.68421052631578</v>
      </c>
      <c r="I16" s="114">
        <f>SUM(G16*0.2)</f>
        <v>20.803508771929824</v>
      </c>
      <c r="J16" s="120">
        <f>F16+I16</f>
        <v>204.47017543859647</v>
      </c>
      <c r="K16" s="141">
        <v>174.27902631578948</v>
      </c>
    </row>
    <row r="17" spans="1:12" s="55" customFormat="1" ht="54.75" customHeight="1" x14ac:dyDescent="0.35">
      <c r="A17" s="113" t="s">
        <v>65</v>
      </c>
      <c r="B17" s="188" t="s">
        <v>72</v>
      </c>
      <c r="C17" s="188"/>
      <c r="D17" s="188"/>
      <c r="E17" s="113">
        <v>1.2999999999999999E-2</v>
      </c>
      <c r="F17" s="114">
        <f>'budget 2022'!D49</f>
        <v>298.45833333333331</v>
      </c>
      <c r="G17" s="114">
        <f>SUM(H12*E17/12)</f>
        <v>169.02850877192981</v>
      </c>
      <c r="H17" s="121">
        <f>SUM(F17+G17)</f>
        <v>467.48684210526312</v>
      </c>
      <c r="I17" s="114">
        <f>SUM(G17*0.2)</f>
        <v>33.805701754385964</v>
      </c>
      <c r="J17" s="120">
        <f>F17+I17</f>
        <v>332.26403508771926</v>
      </c>
      <c r="K17" s="141">
        <v>283.20341776315786</v>
      </c>
      <c r="L17" s="58"/>
    </row>
    <row r="18" spans="1:12" s="55" customFormat="1" ht="42" customHeight="1" x14ac:dyDescent="0.3">
      <c r="A18" s="113" t="s">
        <v>66</v>
      </c>
      <c r="B18" s="188" t="s">
        <v>73</v>
      </c>
      <c r="C18" s="188"/>
      <c r="D18" s="188"/>
      <c r="E18" s="113">
        <v>1.0999999999999999E-2</v>
      </c>
      <c r="F18" s="114">
        <f>'budget 2022'!D50</f>
        <v>252.54166666666666</v>
      </c>
      <c r="G18" s="114">
        <f>SUM(H12*E18/12)</f>
        <v>143.02412280701753</v>
      </c>
      <c r="H18" s="121">
        <f>SUM(F18+G18)</f>
        <v>395.56578947368416</v>
      </c>
      <c r="I18" s="114">
        <f>SUM(G18*0.2)</f>
        <v>28.604824561403507</v>
      </c>
      <c r="J18" s="120">
        <f>F18+I18</f>
        <v>281.14649122807015</v>
      </c>
      <c r="K18" s="141">
        <v>239.6336611842105</v>
      </c>
    </row>
    <row r="19" spans="1:12" s="55" customFormat="1" ht="33.75" customHeight="1" x14ac:dyDescent="0.3">
      <c r="A19" s="113" t="s">
        <v>67</v>
      </c>
      <c r="B19" s="188" t="s">
        <v>74</v>
      </c>
      <c r="C19" s="188"/>
      <c r="D19" s="188"/>
      <c r="E19" s="113">
        <v>8.9999999999999993E-3</v>
      </c>
      <c r="F19" s="114">
        <f>'budget 2022'!D51</f>
        <v>206.625</v>
      </c>
      <c r="G19" s="114">
        <f>SUM(H12*E19/12)</f>
        <v>117.01973684210526</v>
      </c>
      <c r="H19" s="121">
        <f>SUM(F19+G19)</f>
        <v>323.64473684210526</v>
      </c>
      <c r="I19" s="114">
        <f>SUM(G19*0.2)</f>
        <v>23.403947368421054</v>
      </c>
      <c r="J19" s="120">
        <f>F19+I19</f>
        <v>230.02894736842106</v>
      </c>
      <c r="K19" s="141">
        <v>196.06390460526313</v>
      </c>
    </row>
    <row r="20" spans="1:12" ht="15" thickBot="1" x14ac:dyDescent="0.35"/>
    <row r="21" spans="1:12" ht="35.25" customHeight="1" x14ac:dyDescent="0.3">
      <c r="A21" s="179" t="s">
        <v>57</v>
      </c>
      <c r="B21" s="180"/>
      <c r="C21" s="180"/>
      <c r="D21" s="180"/>
      <c r="E21" s="180"/>
      <c r="F21" s="180"/>
      <c r="G21" s="180"/>
      <c r="H21" s="180"/>
      <c r="I21" s="180"/>
      <c r="J21" s="181"/>
    </row>
    <row r="22" spans="1:12" ht="56.1" customHeight="1" thickBot="1" x14ac:dyDescent="0.35">
      <c r="A22" s="182"/>
      <c r="B22" s="183"/>
      <c r="C22" s="183"/>
      <c r="D22" s="183"/>
      <c r="E22" s="183"/>
      <c r="F22" s="183"/>
      <c r="G22" s="183"/>
      <c r="H22" s="183"/>
      <c r="I22" s="183"/>
      <c r="J22" s="184"/>
    </row>
  </sheetData>
  <mergeCells count="19">
    <mergeCell ref="H7:I7"/>
    <mergeCell ref="A1:I1"/>
    <mergeCell ref="H3:I3"/>
    <mergeCell ref="H4:I4"/>
    <mergeCell ref="H5:I5"/>
    <mergeCell ref="H6:I6"/>
    <mergeCell ref="A21:J22"/>
    <mergeCell ref="H8:I8"/>
    <mergeCell ref="H9:I9"/>
    <mergeCell ref="H10:I10"/>
    <mergeCell ref="H11:I11"/>
    <mergeCell ref="H12:I12"/>
    <mergeCell ref="B14:C14"/>
    <mergeCell ref="E14:F14"/>
    <mergeCell ref="B15:D15"/>
    <mergeCell ref="B16:D16"/>
    <mergeCell ref="B17:D17"/>
    <mergeCell ref="B18:D18"/>
    <mergeCell ref="B19:D19"/>
  </mergeCells>
  <pageMargins left="0.25" right="0.25" top="0.75" bottom="0.75" header="0.3" footer="0.3"/>
  <pageSetup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13E6-2139-402E-93CD-6EB67BC64827}">
  <sheetPr>
    <tabColor rgb="FFFFFF00"/>
  </sheetPr>
  <dimension ref="A1:E14"/>
  <sheetViews>
    <sheetView zoomScale="172" zoomScaleNormal="172" zoomScaleSheetLayoutView="86" workbookViewId="0">
      <selection activeCell="E7" sqref="A1:E7"/>
    </sheetView>
  </sheetViews>
  <sheetFormatPr defaultColWidth="8.77734375" defaultRowHeight="15.6" x14ac:dyDescent="0.3"/>
  <cols>
    <col min="1" max="1" width="14.77734375" customWidth="1"/>
    <col min="2" max="2" width="31.77734375" customWidth="1"/>
    <col min="3" max="3" width="18.5546875" style="37" bestFit="1" customWidth="1"/>
    <col min="4" max="4" width="19.21875" style="31" bestFit="1" customWidth="1"/>
    <col min="5" max="5" width="18.5546875" style="33" bestFit="1" customWidth="1"/>
  </cols>
  <sheetData>
    <row r="1" spans="1:5" ht="16.05" customHeight="1" thickBot="1" x14ac:dyDescent="0.35">
      <c r="A1" s="151" t="s">
        <v>142</v>
      </c>
      <c r="B1" s="151"/>
      <c r="C1" s="151"/>
      <c r="D1" s="151"/>
      <c r="E1" s="151"/>
    </row>
    <row r="2" spans="1:5" ht="14.4" x14ac:dyDescent="0.3">
      <c r="A2" s="123"/>
      <c r="B2" s="53" t="s">
        <v>69</v>
      </c>
      <c r="C2" s="124" t="s">
        <v>68</v>
      </c>
      <c r="D2" s="125" t="s">
        <v>140</v>
      </c>
      <c r="E2" s="91" t="s">
        <v>141</v>
      </c>
    </row>
    <row r="3" spans="1:5" ht="52.8" x14ac:dyDescent="0.3">
      <c r="A3" s="126" t="s">
        <v>63</v>
      </c>
      <c r="B3" s="45" t="s">
        <v>87</v>
      </c>
      <c r="C3" s="46">
        <v>1.2E-2</v>
      </c>
      <c r="D3" s="129">
        <f>100000*C3</f>
        <v>1200</v>
      </c>
      <c r="E3" s="127">
        <f>D3/3</f>
        <v>400</v>
      </c>
    </row>
    <row r="4" spans="1:5" ht="75.75" customHeight="1" x14ac:dyDescent="0.3">
      <c r="A4" s="49" t="s">
        <v>64</v>
      </c>
      <c r="B4" s="45" t="s">
        <v>71</v>
      </c>
      <c r="C4" s="46">
        <v>8.0000000000000002E-3</v>
      </c>
      <c r="D4" s="129">
        <f>100000*C4</f>
        <v>800</v>
      </c>
      <c r="E4" s="127">
        <f>D4/3</f>
        <v>266.66666666666669</v>
      </c>
    </row>
    <row r="5" spans="1:5" ht="52.8" x14ac:dyDescent="0.3">
      <c r="A5" s="49" t="s">
        <v>65</v>
      </c>
      <c r="B5" s="45" t="s">
        <v>72</v>
      </c>
      <c r="C5" s="46">
        <v>1.2999999999999999E-2</v>
      </c>
      <c r="D5" s="129">
        <f>100000*C5</f>
        <v>1300</v>
      </c>
      <c r="E5" s="127">
        <f>D5/3</f>
        <v>433.33333333333331</v>
      </c>
    </row>
    <row r="6" spans="1:5" ht="26.4" x14ac:dyDescent="0.3">
      <c r="A6" s="49" t="s">
        <v>66</v>
      </c>
      <c r="B6" s="45" t="s">
        <v>73</v>
      </c>
      <c r="C6" s="46">
        <v>1.0999999999999999E-2</v>
      </c>
      <c r="D6" s="129">
        <f>100000*C6</f>
        <v>1100</v>
      </c>
      <c r="E6" s="127">
        <f>D6/3</f>
        <v>366.66666666666669</v>
      </c>
    </row>
    <row r="7" spans="1:5" ht="15" thickBot="1" x14ac:dyDescent="0.35">
      <c r="A7" s="50" t="s">
        <v>67</v>
      </c>
      <c r="B7" s="51" t="s">
        <v>74</v>
      </c>
      <c r="C7" s="128">
        <v>8.9999999999999993E-3</v>
      </c>
      <c r="D7" s="130">
        <f>100000*C7</f>
        <v>899.99999999999989</v>
      </c>
      <c r="E7" s="127">
        <f>D7/3</f>
        <v>299.99999999999994</v>
      </c>
    </row>
    <row r="8" spans="1:5" x14ac:dyDescent="0.3">
      <c r="A8" s="4"/>
      <c r="B8" s="5"/>
      <c r="C8" s="6"/>
    </row>
    <row r="9" spans="1:5" x14ac:dyDescent="0.3">
      <c r="C9" s="32"/>
    </row>
    <row r="10" spans="1:5" x14ac:dyDescent="0.3">
      <c r="A10" s="1"/>
      <c r="C10" s="32"/>
    </row>
    <row r="11" spans="1:5" x14ac:dyDescent="0.3">
      <c r="C11" s="32"/>
    </row>
    <row r="12" spans="1:5" x14ac:dyDescent="0.3">
      <c r="A12" s="1"/>
      <c r="C12" s="32"/>
    </row>
    <row r="13" spans="1:5" x14ac:dyDescent="0.3">
      <c r="A13" s="1"/>
      <c r="C13" s="32"/>
    </row>
    <row r="14" spans="1:5" x14ac:dyDescent="0.3">
      <c r="A14" s="1"/>
    </row>
  </sheetData>
  <mergeCells count="1">
    <mergeCell ref="A1:E1"/>
  </mergeCells>
  <pageMargins left="0" right="0" top="0" bottom="0" header="0.3" footer="0.3"/>
  <pageSetup scale="74" orientation="portrait" r:id="rId1"/>
  <headerFooter>
    <oddHeader xml:space="preserve">&amp;CCentre Hill Courts Condo
Budget for 2021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345B-12A4-4ADF-AC46-8B43B358A6C1}">
  <sheetPr>
    <tabColor rgb="FFFFFF00"/>
  </sheetPr>
  <dimension ref="A1:P22"/>
  <sheetViews>
    <sheetView topLeftCell="A13" zoomScaleNormal="100" zoomScaleSheetLayoutView="86" workbookViewId="0">
      <selection activeCell="J19" sqref="A14:J19"/>
    </sheetView>
  </sheetViews>
  <sheetFormatPr defaultColWidth="9" defaultRowHeight="14.4" x14ac:dyDescent="0.3"/>
  <cols>
    <col min="1" max="1" width="17" bestFit="1" customWidth="1"/>
    <col min="2" max="2" width="11" bestFit="1" customWidth="1"/>
    <col min="3" max="3" width="16.44140625" bestFit="1" customWidth="1"/>
    <col min="4" max="4" width="15.44140625" bestFit="1" customWidth="1"/>
    <col min="5" max="5" width="12.21875" hidden="1" customWidth="1"/>
    <col min="6" max="6" width="14.5546875" hidden="1" customWidth="1"/>
    <col min="7" max="7" width="16.21875" hidden="1" customWidth="1"/>
    <col min="8" max="8" width="18.5546875" hidden="1" customWidth="1"/>
    <col min="9" max="9" width="16.21875" hidden="1" customWidth="1"/>
    <col min="10" max="10" width="24.21875" bestFit="1" customWidth="1"/>
    <col min="11" max="11" width="15.5546875" customWidth="1"/>
    <col min="13" max="13" width="22.44140625" customWidth="1"/>
    <col min="15" max="15" width="12.44140625" bestFit="1" customWidth="1"/>
  </cols>
  <sheetData>
    <row r="1" spans="1:16" ht="22.8" hidden="1" x14ac:dyDescent="0.4">
      <c r="A1" s="162" t="s">
        <v>152</v>
      </c>
      <c r="B1" s="162"/>
      <c r="C1" s="162"/>
      <c r="D1" s="162"/>
      <c r="E1" s="162"/>
      <c r="F1" s="162"/>
      <c r="G1" s="162"/>
      <c r="H1" s="162"/>
      <c r="I1" s="162"/>
    </row>
    <row r="2" spans="1:16" ht="25.5" hidden="1" customHeight="1" thickBot="1" x14ac:dyDescent="0.35"/>
    <row r="3" spans="1:16" ht="15.6" hidden="1" x14ac:dyDescent="0.3">
      <c r="A3" s="7" t="s">
        <v>36</v>
      </c>
      <c r="B3" s="8" t="s">
        <v>37</v>
      </c>
      <c r="C3" s="8" t="s">
        <v>37</v>
      </c>
      <c r="D3" s="8" t="s">
        <v>38</v>
      </c>
      <c r="E3" s="9" t="s">
        <v>39</v>
      </c>
      <c r="F3" s="8" t="s">
        <v>40</v>
      </c>
      <c r="G3" s="8" t="s">
        <v>41</v>
      </c>
      <c r="H3" s="163" t="s">
        <v>42</v>
      </c>
      <c r="I3" s="164"/>
      <c r="J3" s="10" t="s">
        <v>42</v>
      </c>
      <c r="M3" s="11"/>
      <c r="N3" s="12"/>
    </row>
    <row r="4" spans="1:16" ht="15.6" hidden="1" x14ac:dyDescent="0.3">
      <c r="A4" s="13"/>
      <c r="B4" s="14" t="s">
        <v>43</v>
      </c>
      <c r="C4" s="14" t="s">
        <v>44</v>
      </c>
      <c r="D4" s="14" t="s">
        <v>45</v>
      </c>
      <c r="E4" s="15" t="s">
        <v>46</v>
      </c>
      <c r="F4" s="14" t="s">
        <v>47</v>
      </c>
      <c r="G4" s="14" t="s">
        <v>42</v>
      </c>
      <c r="H4" s="165" t="s">
        <v>136</v>
      </c>
      <c r="I4" s="166"/>
      <c r="J4" s="16" t="s">
        <v>137</v>
      </c>
      <c r="M4" s="11"/>
      <c r="N4" s="12"/>
    </row>
    <row r="5" spans="1:16" ht="15.6" hidden="1" x14ac:dyDescent="0.3">
      <c r="A5" s="13"/>
      <c r="B5" s="14"/>
      <c r="C5" s="14"/>
      <c r="D5" s="14"/>
      <c r="E5" s="15" t="s">
        <v>49</v>
      </c>
      <c r="F5" s="17">
        <v>44561</v>
      </c>
      <c r="G5" s="14" t="s">
        <v>50</v>
      </c>
      <c r="H5" s="165" t="s">
        <v>51</v>
      </c>
      <c r="I5" s="166"/>
      <c r="J5" s="16" t="s">
        <v>52</v>
      </c>
      <c r="M5" s="11"/>
      <c r="N5" s="12"/>
    </row>
    <row r="6" spans="1:16" ht="15.6" hidden="1" x14ac:dyDescent="0.3">
      <c r="A6" s="18" t="s">
        <v>53</v>
      </c>
      <c r="B6" s="19">
        <v>20</v>
      </c>
      <c r="C6" s="20">
        <v>650000</v>
      </c>
      <c r="D6" s="19">
        <v>19</v>
      </c>
      <c r="E6" s="21">
        <v>0.25</v>
      </c>
      <c r="F6" s="22">
        <f>SUM(F12*E6)</f>
        <v>32000</v>
      </c>
      <c r="G6" s="22">
        <f>SUM((C6-F6))</f>
        <v>618000</v>
      </c>
      <c r="H6" s="167">
        <f>SUM(G6/D6)</f>
        <v>32526.315789473683</v>
      </c>
      <c r="I6" s="168"/>
      <c r="J6" s="23">
        <f>C6/D6*0.2</f>
        <v>6842.105263157895</v>
      </c>
      <c r="M6" s="11"/>
      <c r="N6" s="12"/>
    </row>
    <row r="7" spans="1:16" ht="15.6" hidden="1" x14ac:dyDescent="0.3">
      <c r="A7" s="18" t="s">
        <v>107</v>
      </c>
      <c r="B7" s="19">
        <v>30</v>
      </c>
      <c r="C7" s="20">
        <v>500000</v>
      </c>
      <c r="D7" s="19">
        <v>29</v>
      </c>
      <c r="E7" s="21">
        <v>0.1</v>
      </c>
      <c r="F7" s="22">
        <f>SUM(F12*0.1)</f>
        <v>12800</v>
      </c>
      <c r="G7" s="22">
        <v>450000</v>
      </c>
      <c r="H7" s="167">
        <f>G7/50</f>
        <v>9000</v>
      </c>
      <c r="I7" s="168"/>
      <c r="J7" s="23">
        <f>H7*0.2</f>
        <v>1800</v>
      </c>
      <c r="M7" s="11"/>
      <c r="N7" s="12"/>
    </row>
    <row r="8" spans="1:16" ht="15.6" hidden="1" x14ac:dyDescent="0.3">
      <c r="A8" s="18" t="s">
        <v>58</v>
      </c>
      <c r="B8" s="19">
        <v>8</v>
      </c>
      <c r="C8" s="22">
        <v>50000</v>
      </c>
      <c r="D8" s="19">
        <v>3</v>
      </c>
      <c r="E8" s="21">
        <v>0.1</v>
      </c>
      <c r="F8" s="22">
        <f>SUM(F12*E8)</f>
        <v>12800</v>
      </c>
      <c r="G8" s="22">
        <f>SUM(C8-F8)</f>
        <v>37200</v>
      </c>
      <c r="H8" s="167">
        <f>SUM(G8/D8)</f>
        <v>12400</v>
      </c>
      <c r="I8" s="168"/>
      <c r="J8" s="23">
        <f>C8/D8*0.2</f>
        <v>3333.3333333333339</v>
      </c>
      <c r="M8" s="11"/>
      <c r="N8" s="12"/>
    </row>
    <row r="9" spans="1:16" ht="27" hidden="1" x14ac:dyDescent="0.3">
      <c r="A9" s="30" t="s">
        <v>59</v>
      </c>
      <c r="B9" s="19">
        <v>30</v>
      </c>
      <c r="C9" s="22">
        <v>150000</v>
      </c>
      <c r="D9" s="19">
        <v>20</v>
      </c>
      <c r="E9" s="21">
        <v>0.25</v>
      </c>
      <c r="F9" s="22">
        <f>SUM(F12*E9)</f>
        <v>32000</v>
      </c>
      <c r="G9" s="22">
        <f>SUM(C9-F9)</f>
        <v>118000</v>
      </c>
      <c r="H9" s="167">
        <f>SUM(G9/D9)</f>
        <v>5900</v>
      </c>
      <c r="I9" s="168"/>
      <c r="J9" s="23">
        <f>C9/D9*0.2</f>
        <v>1500</v>
      </c>
      <c r="M9" s="11"/>
      <c r="N9" s="12"/>
    </row>
    <row r="10" spans="1:16" ht="15.6" hidden="1" x14ac:dyDescent="0.3">
      <c r="A10" s="18" t="s">
        <v>54</v>
      </c>
      <c r="B10" s="19">
        <v>20</v>
      </c>
      <c r="C10" s="22">
        <v>80000</v>
      </c>
      <c r="D10" s="19">
        <v>2</v>
      </c>
      <c r="E10" s="21">
        <v>0.15</v>
      </c>
      <c r="F10" s="22">
        <f>SUM(F12*E10)</f>
        <v>19200</v>
      </c>
      <c r="G10" s="22">
        <f>SUM(C10-F10)</f>
        <v>60800</v>
      </c>
      <c r="H10" s="167">
        <f>SUM(G10/D10)</f>
        <v>30400</v>
      </c>
      <c r="I10" s="168"/>
      <c r="J10" s="24">
        <f>C10/D10*0.2</f>
        <v>8000</v>
      </c>
      <c r="M10" s="11" t="s">
        <v>104</v>
      </c>
      <c r="N10" s="12"/>
    </row>
    <row r="11" spans="1:16" hidden="1" x14ac:dyDescent="0.3">
      <c r="A11" s="18" t="s">
        <v>55</v>
      </c>
      <c r="B11" s="19">
        <v>8</v>
      </c>
      <c r="C11" s="22">
        <v>85000</v>
      </c>
      <c r="D11" s="19">
        <v>1</v>
      </c>
      <c r="E11" s="21">
        <v>0.15</v>
      </c>
      <c r="F11" s="22">
        <f>SUM(F12*E11)</f>
        <v>19200</v>
      </c>
      <c r="G11" s="22">
        <f>SUM(C11-F11)</f>
        <v>65800</v>
      </c>
      <c r="H11" s="167">
        <f>SUM(G11/D11)</f>
        <v>65800</v>
      </c>
      <c r="I11" s="168"/>
      <c r="J11" s="24">
        <f>C11/D11*0.2</f>
        <v>17000</v>
      </c>
      <c r="P11">
        <f>11150/12</f>
        <v>929.16666666666663</v>
      </c>
    </row>
    <row r="12" spans="1:16" ht="25.5" hidden="1" customHeight="1" thickBot="1" x14ac:dyDescent="0.35">
      <c r="A12" s="25" t="s">
        <v>56</v>
      </c>
      <c r="B12" s="26"/>
      <c r="C12" s="27">
        <f>SUM(C6:C11)</f>
        <v>1515000</v>
      </c>
      <c r="D12" s="26"/>
      <c r="E12" s="28">
        <f>SUM(E6:E11)</f>
        <v>1</v>
      </c>
      <c r="F12" s="112">
        <v>128000</v>
      </c>
      <c r="G12" s="27">
        <f>SUM(G6:G11)</f>
        <v>1349800</v>
      </c>
      <c r="H12" s="169">
        <f>SUM(H6:I11)</f>
        <v>156026.31578947368</v>
      </c>
      <c r="I12" s="170"/>
      <c r="J12" s="29">
        <f>SUM(J6:J11)</f>
        <v>38475.438596491229</v>
      </c>
      <c r="P12" t="s">
        <v>105</v>
      </c>
    </row>
    <row r="13" spans="1:16" ht="25.5" customHeight="1" x14ac:dyDescent="0.3">
      <c r="M13" s="79">
        <f>J12/12</f>
        <v>3206.2865497076023</v>
      </c>
    </row>
    <row r="14" spans="1:16" s="55" customFormat="1" ht="93.75" customHeight="1" x14ac:dyDescent="0.3">
      <c r="A14" s="113"/>
      <c r="B14" s="185" t="s">
        <v>69</v>
      </c>
      <c r="C14" s="185"/>
      <c r="D14" s="115"/>
      <c r="E14" s="186" t="s">
        <v>75</v>
      </c>
      <c r="F14" s="187"/>
      <c r="G14" s="115" t="s">
        <v>78</v>
      </c>
      <c r="H14" s="119" t="s">
        <v>76</v>
      </c>
      <c r="I14" s="115" t="s">
        <v>128</v>
      </c>
      <c r="J14" s="122" t="s">
        <v>126</v>
      </c>
      <c r="K14" s="142"/>
    </row>
    <row r="15" spans="1:16" s="55" customFormat="1" ht="81.75" customHeight="1" x14ac:dyDescent="0.3">
      <c r="A15" s="113" t="s">
        <v>63</v>
      </c>
      <c r="B15" s="188" t="s">
        <v>87</v>
      </c>
      <c r="C15" s="188"/>
      <c r="D15" s="188"/>
      <c r="E15" s="113">
        <v>1.2E-2</v>
      </c>
      <c r="F15" s="114">
        <f>'budget 2022'!D47</f>
        <v>275.5</v>
      </c>
      <c r="G15" s="114">
        <f>SUM(H12*E15/12)</f>
        <v>156.02631578947367</v>
      </c>
      <c r="H15" s="121">
        <f>SUM(F15+G15)</f>
        <v>431.52631578947364</v>
      </c>
      <c r="I15" s="114">
        <f>SUM(G15*0.2)</f>
        <v>31.205263157894734</v>
      </c>
      <c r="J15" s="120">
        <f>F15+I15</f>
        <v>306.70526315789471</v>
      </c>
      <c r="K15" s="141"/>
    </row>
    <row r="16" spans="1:16" s="55" customFormat="1" ht="60" customHeight="1" x14ac:dyDescent="0.3">
      <c r="A16" s="113" t="s">
        <v>64</v>
      </c>
      <c r="B16" s="188" t="s">
        <v>71</v>
      </c>
      <c r="C16" s="188"/>
      <c r="D16" s="188"/>
      <c r="E16" s="113">
        <v>8.0000000000000002E-3</v>
      </c>
      <c r="F16" s="114">
        <f>'budget 2022'!D48</f>
        <v>183.66666666666666</v>
      </c>
      <c r="G16" s="114">
        <f>SUM(H12*E16/12)</f>
        <v>104.01754385964911</v>
      </c>
      <c r="H16" s="121">
        <f>SUM(F16+G16)</f>
        <v>287.68421052631578</v>
      </c>
      <c r="I16" s="114">
        <f>SUM(G16*0.2)</f>
        <v>20.803508771929824</v>
      </c>
      <c r="J16" s="120">
        <f>F16+I16</f>
        <v>204.47017543859647</v>
      </c>
      <c r="K16" s="141"/>
    </row>
    <row r="17" spans="1:12" s="55" customFormat="1" ht="54.75" customHeight="1" x14ac:dyDescent="0.35">
      <c r="A17" s="113" t="s">
        <v>65</v>
      </c>
      <c r="B17" s="188" t="s">
        <v>72</v>
      </c>
      <c r="C17" s="188"/>
      <c r="D17" s="188"/>
      <c r="E17" s="113">
        <v>1.2999999999999999E-2</v>
      </c>
      <c r="F17" s="114">
        <f>'budget 2022'!D49</f>
        <v>298.45833333333331</v>
      </c>
      <c r="G17" s="114">
        <f>SUM(H12*E17/12)</f>
        <v>169.02850877192981</v>
      </c>
      <c r="H17" s="121">
        <f>SUM(F17+G17)</f>
        <v>467.48684210526312</v>
      </c>
      <c r="I17" s="114">
        <f>SUM(G17*0.2)</f>
        <v>33.805701754385964</v>
      </c>
      <c r="J17" s="120">
        <f>F17+I17</f>
        <v>332.26403508771926</v>
      </c>
      <c r="K17" s="141"/>
      <c r="L17" s="58"/>
    </row>
    <row r="18" spans="1:12" s="55" customFormat="1" ht="42" customHeight="1" x14ac:dyDescent="0.3">
      <c r="A18" s="113" t="s">
        <v>66</v>
      </c>
      <c r="B18" s="188" t="s">
        <v>73</v>
      </c>
      <c r="C18" s="188"/>
      <c r="D18" s="188"/>
      <c r="E18" s="113">
        <v>1.0999999999999999E-2</v>
      </c>
      <c r="F18" s="114">
        <f>'budget 2022'!D50</f>
        <v>252.54166666666666</v>
      </c>
      <c r="G18" s="114">
        <f>SUM(H12*E18/12)</f>
        <v>143.02412280701753</v>
      </c>
      <c r="H18" s="121">
        <f>SUM(F18+G18)</f>
        <v>395.56578947368416</v>
      </c>
      <c r="I18" s="114">
        <f>SUM(G18*0.2)</f>
        <v>28.604824561403507</v>
      </c>
      <c r="J18" s="120">
        <f>F18+I18</f>
        <v>281.14649122807015</v>
      </c>
      <c r="K18" s="141"/>
    </row>
    <row r="19" spans="1:12" s="55" customFormat="1" ht="33.75" customHeight="1" x14ac:dyDescent="0.3">
      <c r="A19" s="113" t="s">
        <v>67</v>
      </c>
      <c r="B19" s="188" t="s">
        <v>74</v>
      </c>
      <c r="C19" s="188"/>
      <c r="D19" s="188"/>
      <c r="E19" s="113">
        <v>8.9999999999999993E-3</v>
      </c>
      <c r="F19" s="114">
        <f>'budget 2022'!D51</f>
        <v>206.625</v>
      </c>
      <c r="G19" s="114">
        <f>SUM(H12*E19/12)</f>
        <v>117.01973684210526</v>
      </c>
      <c r="H19" s="121">
        <f>SUM(F19+G19)</f>
        <v>323.64473684210526</v>
      </c>
      <c r="I19" s="114">
        <f>SUM(G19*0.2)</f>
        <v>23.403947368421054</v>
      </c>
      <c r="J19" s="120">
        <f>F19+I19</f>
        <v>230.02894736842106</v>
      </c>
      <c r="K19" s="141"/>
    </row>
    <row r="20" spans="1:12" ht="15" thickBot="1" x14ac:dyDescent="0.35"/>
    <row r="21" spans="1:12" ht="35.25" customHeight="1" x14ac:dyDescent="0.3">
      <c r="A21" s="179" t="s">
        <v>57</v>
      </c>
      <c r="B21" s="180"/>
      <c r="C21" s="180"/>
      <c r="D21" s="180"/>
      <c r="E21" s="180"/>
      <c r="F21" s="180"/>
      <c r="G21" s="180"/>
      <c r="H21" s="180"/>
      <c r="I21" s="180"/>
      <c r="J21" s="181"/>
    </row>
    <row r="22" spans="1:12" ht="56.1" customHeight="1" thickBot="1" x14ac:dyDescent="0.35">
      <c r="A22" s="182"/>
      <c r="B22" s="183"/>
      <c r="C22" s="183"/>
      <c r="D22" s="183"/>
      <c r="E22" s="183"/>
      <c r="F22" s="183"/>
      <c r="G22" s="183"/>
      <c r="H22" s="183"/>
      <c r="I22" s="183"/>
      <c r="J22" s="184"/>
    </row>
  </sheetData>
  <mergeCells count="19">
    <mergeCell ref="A21:J22"/>
    <mergeCell ref="H8:I8"/>
    <mergeCell ref="H9:I9"/>
    <mergeCell ref="H10:I10"/>
    <mergeCell ref="H11:I11"/>
    <mergeCell ref="H12:I12"/>
    <mergeCell ref="B14:C14"/>
    <mergeCell ref="E14:F14"/>
    <mergeCell ref="B15:D15"/>
    <mergeCell ref="B16:D16"/>
    <mergeCell ref="B17:D17"/>
    <mergeCell ref="B18:D18"/>
    <mergeCell ref="B19:D19"/>
    <mergeCell ref="H7:I7"/>
    <mergeCell ref="A1:I1"/>
    <mergeCell ref="H3:I3"/>
    <mergeCell ref="H4:I4"/>
    <mergeCell ref="H5:I5"/>
    <mergeCell ref="H6:I6"/>
  </mergeCells>
  <pageMargins left="0.25" right="0.25" top="0.75" bottom="0.75" header="0.3" footer="0.3"/>
  <pageSetup scale="6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C982-2C77-430B-8C11-46910F1659E9}">
  <dimension ref="A1:K9"/>
  <sheetViews>
    <sheetView zoomScaleNormal="100" workbookViewId="0">
      <selection activeCell="E9" sqref="A2:E9"/>
    </sheetView>
  </sheetViews>
  <sheetFormatPr defaultColWidth="8.77734375" defaultRowHeight="14.4" x14ac:dyDescent="0.3"/>
  <cols>
    <col min="1" max="1" width="13.44140625" bestFit="1" customWidth="1"/>
    <col min="2" max="2" width="29.5546875" bestFit="1" customWidth="1"/>
    <col min="3" max="3" width="13.44140625" bestFit="1" customWidth="1"/>
    <col min="4" max="4" width="18" style="79" customWidth="1"/>
    <col min="5" max="5" width="18.44140625" style="79" bestFit="1" customWidth="1"/>
    <col min="6" max="6" width="14.44140625" bestFit="1" customWidth="1"/>
    <col min="7" max="7" width="16.77734375" customWidth="1"/>
  </cols>
  <sheetData>
    <row r="1" spans="1:11" ht="21" x14ac:dyDescent="0.4">
      <c r="A1" s="171" t="s">
        <v>153</v>
      </c>
      <c r="B1" s="171"/>
      <c r="C1" s="171"/>
      <c r="D1" s="171"/>
      <c r="E1" s="171"/>
      <c r="F1" s="171"/>
      <c r="G1" s="171"/>
    </row>
    <row r="2" spans="1:11" ht="46.35" customHeight="1" x14ac:dyDescent="0.3">
      <c r="A2" s="174" t="s">
        <v>69</v>
      </c>
      <c r="B2" s="175"/>
      <c r="C2" s="172" t="s">
        <v>68</v>
      </c>
      <c r="D2" s="98">
        <f>500000+45000</f>
        <v>545000</v>
      </c>
      <c r="E2" s="98" t="s">
        <v>97</v>
      </c>
      <c r="F2" s="69" t="s">
        <v>154</v>
      </c>
      <c r="G2" s="158" t="s">
        <v>110</v>
      </c>
    </row>
    <row r="3" spans="1:11" ht="77.55" customHeight="1" x14ac:dyDescent="0.3">
      <c r="A3" s="176"/>
      <c r="B3" s="177"/>
      <c r="C3" s="173"/>
      <c r="D3" s="98" t="s">
        <v>103</v>
      </c>
      <c r="E3" s="98" t="s">
        <v>100</v>
      </c>
      <c r="F3" s="69" t="s">
        <v>101</v>
      </c>
      <c r="G3" s="158"/>
    </row>
    <row r="4" spans="1:11" ht="52.8" x14ac:dyDescent="0.3">
      <c r="A4" s="80" t="s">
        <v>63</v>
      </c>
      <c r="B4" s="45" t="s">
        <v>87</v>
      </c>
      <c r="C4" s="96">
        <v>1.2E-2</v>
      </c>
      <c r="D4" s="99">
        <f>D2*C4/108</f>
        <v>60.555555555555557</v>
      </c>
      <c r="E4" s="99">
        <f>D4*108*24</f>
        <v>156960</v>
      </c>
      <c r="F4" s="99"/>
      <c r="G4" s="99"/>
      <c r="K4">
        <f>500000*0.05*108</f>
        <v>2700000</v>
      </c>
    </row>
    <row r="5" spans="1:11" ht="52.8" x14ac:dyDescent="0.3">
      <c r="A5" s="45" t="s">
        <v>64</v>
      </c>
      <c r="B5" s="45" t="s">
        <v>71</v>
      </c>
      <c r="C5" s="96">
        <v>8.0000000000000002E-3</v>
      </c>
      <c r="D5" s="99">
        <f>D2*C5/108</f>
        <v>40.370370370370374</v>
      </c>
      <c r="E5" s="99">
        <f>D5*108*24</f>
        <v>104640</v>
      </c>
      <c r="F5" s="99"/>
      <c r="G5" s="99"/>
      <c r="K5">
        <f>1000000*0.0475*9</f>
        <v>427500</v>
      </c>
    </row>
    <row r="6" spans="1:11" ht="52.8" x14ac:dyDescent="0.3">
      <c r="A6" s="45" t="s">
        <v>65</v>
      </c>
      <c r="B6" s="45" t="s">
        <v>72</v>
      </c>
      <c r="C6" s="96">
        <v>1.2999999999999999E-2</v>
      </c>
      <c r="D6" s="99">
        <f>D2*C6/108</f>
        <v>65.601851851851848</v>
      </c>
      <c r="E6" s="99">
        <f>D6*24*108</f>
        <v>170040</v>
      </c>
      <c r="F6" s="99"/>
      <c r="G6" s="99"/>
      <c r="K6">
        <f>K5*8</f>
        <v>3420000</v>
      </c>
    </row>
    <row r="7" spans="1:11" ht="39.6" x14ac:dyDescent="0.3">
      <c r="A7" s="45" t="s">
        <v>66</v>
      </c>
      <c r="B7" s="45" t="s">
        <v>73</v>
      </c>
      <c r="C7" s="96">
        <v>1.0999999999999999E-2</v>
      </c>
      <c r="D7" s="99">
        <f>D2*C7/108</f>
        <v>55.50925925925926</v>
      </c>
      <c r="E7" s="99">
        <f>D7*108*14</f>
        <v>83930</v>
      </c>
      <c r="F7" s="99"/>
      <c r="G7" s="99"/>
    </row>
    <row r="8" spans="1:11" x14ac:dyDescent="0.3">
      <c r="A8" s="45" t="s">
        <v>67</v>
      </c>
      <c r="B8" s="45" t="s">
        <v>74</v>
      </c>
      <c r="C8" s="97">
        <v>8.9999999999999993E-3</v>
      </c>
      <c r="D8" s="99">
        <f>D2*C8/108</f>
        <v>45.416666666666664</v>
      </c>
      <c r="E8" s="99">
        <f>D8*6*108</f>
        <v>29430</v>
      </c>
      <c r="F8" s="99"/>
      <c r="G8" s="99"/>
    </row>
    <row r="9" spans="1:11" x14ac:dyDescent="0.3">
      <c r="D9" s="99"/>
      <c r="E9" s="99">
        <f>+E4+E5+E6+E7+E8</f>
        <v>545000</v>
      </c>
      <c r="F9" s="100"/>
      <c r="I9">
        <f>4400/46</f>
        <v>95.652173913043484</v>
      </c>
    </row>
  </sheetData>
  <mergeCells count="4">
    <mergeCell ref="A1:G1"/>
    <mergeCell ref="A2:B3"/>
    <mergeCell ref="C2:C3"/>
    <mergeCell ref="G2:G3"/>
  </mergeCells>
  <pageMargins left="0.7" right="0.7" top="0.75" bottom="0.75" header="0.3" footer="0.3"/>
  <pageSetup scale="98" orientation="landscape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36C7-1E13-4A91-AC98-12EBABFDE637}">
  <sheetPr>
    <tabColor rgb="FFFFFF00"/>
  </sheetPr>
  <dimension ref="A1:K62"/>
  <sheetViews>
    <sheetView view="pageBreakPreview" zoomScale="86" zoomScaleNormal="86" zoomScaleSheetLayoutView="86" workbookViewId="0">
      <selection activeCell="C10" sqref="C10"/>
    </sheetView>
  </sheetViews>
  <sheetFormatPr defaultColWidth="8.77734375" defaultRowHeight="15.6" x14ac:dyDescent="0.3"/>
  <cols>
    <col min="1" max="1" width="14.77734375" customWidth="1"/>
    <col min="2" max="2" width="31.77734375" customWidth="1"/>
    <col min="3" max="3" width="18.5546875" style="37" bestFit="1" customWidth="1"/>
    <col min="4" max="4" width="19.21875" style="31" bestFit="1" customWidth="1"/>
    <col min="5" max="5" width="18.5546875" style="33" bestFit="1" customWidth="1"/>
    <col min="6" max="6" width="14.77734375" customWidth="1"/>
    <col min="7" max="7" width="13.44140625" customWidth="1"/>
    <col min="8" max="8" width="12.44140625" customWidth="1"/>
    <col min="9" max="9" width="13.5546875" customWidth="1"/>
    <col min="10" max="10" width="11.21875" bestFit="1" customWidth="1"/>
    <col min="11" max="11" width="12.44140625" bestFit="1" customWidth="1"/>
  </cols>
  <sheetData>
    <row r="1" spans="1:7" ht="15.75" customHeight="1" x14ac:dyDescent="0.3">
      <c r="B1" s="151" t="s">
        <v>156</v>
      </c>
      <c r="C1" s="151"/>
      <c r="D1" s="151"/>
      <c r="E1" s="151"/>
    </row>
    <row r="2" spans="1:7" ht="35.1" customHeight="1" x14ac:dyDescent="0.3">
      <c r="B2" s="136"/>
      <c r="C2" s="136"/>
      <c r="D2" s="136"/>
      <c r="E2" s="136"/>
    </row>
    <row r="3" spans="1:7" ht="33.75" customHeight="1" x14ac:dyDescent="0.3">
      <c r="A3" s="3" t="s">
        <v>62</v>
      </c>
      <c r="B3" s="2"/>
      <c r="C3" s="64" t="s">
        <v>157</v>
      </c>
      <c r="D3" s="65" t="s">
        <v>158</v>
      </c>
      <c r="E3" s="64" t="s">
        <v>159</v>
      </c>
    </row>
    <row r="4" spans="1:7" x14ac:dyDescent="0.3">
      <c r="A4" s="1"/>
      <c r="B4" s="1" t="s">
        <v>170</v>
      </c>
      <c r="C4" s="86">
        <v>390797.91</v>
      </c>
      <c r="D4" s="82">
        <v>430000</v>
      </c>
      <c r="E4" s="86">
        <f>E45-E7-E10</f>
        <v>463920</v>
      </c>
      <c r="G4" s="139" t="s">
        <v>144</v>
      </c>
    </row>
    <row r="5" spans="1:7" x14ac:dyDescent="0.3">
      <c r="A5" s="1"/>
      <c r="B5" s="1" t="s">
        <v>134</v>
      </c>
      <c r="C5" s="86">
        <v>0</v>
      </c>
      <c r="D5" s="82">
        <v>130000</v>
      </c>
      <c r="E5" s="86">
        <v>130000</v>
      </c>
    </row>
    <row r="6" spans="1:7" x14ac:dyDescent="0.3">
      <c r="A6" s="1"/>
      <c r="B6" s="1" t="s">
        <v>168</v>
      </c>
      <c r="C6" s="86"/>
      <c r="D6" s="82">
        <v>130000</v>
      </c>
      <c r="E6" s="86">
        <v>10000</v>
      </c>
    </row>
    <row r="7" spans="1:7" x14ac:dyDescent="0.3">
      <c r="A7" s="1"/>
      <c r="B7" s="1" t="s">
        <v>169</v>
      </c>
      <c r="C7" s="86">
        <v>600</v>
      </c>
      <c r="D7" s="82">
        <v>200</v>
      </c>
      <c r="E7" s="86">
        <v>200</v>
      </c>
    </row>
    <row r="8" spans="1:7" x14ac:dyDescent="0.3">
      <c r="A8" s="1"/>
      <c r="B8" s="1" t="s">
        <v>116</v>
      </c>
      <c r="C8" s="82">
        <v>0</v>
      </c>
      <c r="D8" s="82"/>
      <c r="E8" s="82">
        <v>0</v>
      </c>
    </row>
    <row r="9" spans="1:7" x14ac:dyDescent="0.3">
      <c r="A9" s="1"/>
      <c r="B9" s="1" t="s">
        <v>47</v>
      </c>
      <c r="C9" s="116">
        <v>0</v>
      </c>
      <c r="D9" s="82">
        <v>0</v>
      </c>
      <c r="E9" s="116">
        <v>0</v>
      </c>
    </row>
    <row r="10" spans="1:7" ht="16.2" thickBot="1" x14ac:dyDescent="0.35">
      <c r="A10" s="1"/>
      <c r="B10" s="1" t="s">
        <v>8</v>
      </c>
      <c r="C10" s="84">
        <v>4200</v>
      </c>
      <c r="D10" s="84">
        <v>4000</v>
      </c>
      <c r="E10" s="84">
        <v>3500</v>
      </c>
      <c r="G10" s="139" t="s">
        <v>143</v>
      </c>
    </row>
    <row r="11" spans="1:7" x14ac:dyDescent="0.3">
      <c r="A11" s="4" t="s">
        <v>1</v>
      </c>
      <c r="B11" s="4"/>
      <c r="C11" s="86">
        <f>SUM(C4:C10)</f>
        <v>395597.91</v>
      </c>
      <c r="D11" s="143">
        <f>SUM(D4:D10)</f>
        <v>694200</v>
      </c>
      <c r="E11" s="86">
        <f>SUM(E4:E10)</f>
        <v>607620</v>
      </c>
      <c r="G11" t="s">
        <v>150</v>
      </c>
    </row>
    <row r="12" spans="1:7" x14ac:dyDescent="0.3">
      <c r="A12" s="4" t="s">
        <v>171</v>
      </c>
      <c r="B12" s="4"/>
      <c r="C12" s="143"/>
      <c r="D12" s="40"/>
      <c r="E12" s="143">
        <f>E4+E7+E8+E10</f>
        <v>467620</v>
      </c>
      <c r="G12" s="139" t="s">
        <v>145</v>
      </c>
    </row>
    <row r="13" spans="1:7" x14ac:dyDescent="0.3">
      <c r="A13" s="4" t="s">
        <v>172</v>
      </c>
      <c r="B13" s="1"/>
      <c r="C13" s="143"/>
      <c r="D13" s="40"/>
      <c r="E13" s="143"/>
    </row>
    <row r="14" spans="1:7" x14ac:dyDescent="0.3">
      <c r="A14" s="34"/>
      <c r="B14" s="1" t="s">
        <v>9</v>
      </c>
      <c r="C14" s="82">
        <v>12900</v>
      </c>
      <c r="D14" s="83">
        <v>6000</v>
      </c>
      <c r="E14" s="82">
        <v>12900</v>
      </c>
      <c r="G14" t="s">
        <v>148</v>
      </c>
    </row>
    <row r="15" spans="1:7" x14ac:dyDescent="0.3">
      <c r="A15" s="34"/>
      <c r="B15" s="1" t="s">
        <v>122</v>
      </c>
      <c r="C15" s="82">
        <v>550</v>
      </c>
      <c r="D15" s="83">
        <v>1000</v>
      </c>
      <c r="E15" s="82">
        <v>550</v>
      </c>
    </row>
    <row r="16" spans="1:7" x14ac:dyDescent="0.3">
      <c r="A16" s="34"/>
      <c r="B16" s="1" t="s">
        <v>123</v>
      </c>
      <c r="C16" s="82">
        <v>2500</v>
      </c>
      <c r="D16" s="83">
        <v>3500</v>
      </c>
      <c r="E16" s="82">
        <v>2000</v>
      </c>
    </row>
    <row r="17" spans="1:5" x14ac:dyDescent="0.3">
      <c r="A17" s="34"/>
      <c r="B17" s="1" t="s">
        <v>6</v>
      </c>
      <c r="C17" s="82">
        <v>1000</v>
      </c>
      <c r="D17" s="83">
        <v>10000</v>
      </c>
      <c r="E17" s="82">
        <v>4000</v>
      </c>
    </row>
    <row r="18" spans="1:5" x14ac:dyDescent="0.3">
      <c r="A18" s="34"/>
      <c r="B18" s="1" t="s">
        <v>27</v>
      </c>
      <c r="C18" s="82">
        <v>17500</v>
      </c>
      <c r="D18" s="83">
        <v>4000</v>
      </c>
      <c r="E18" s="82">
        <v>5500</v>
      </c>
    </row>
    <row r="19" spans="1:5" x14ac:dyDescent="0.3">
      <c r="A19" s="34"/>
      <c r="B19" s="1" t="s">
        <v>30</v>
      </c>
      <c r="C19" s="82"/>
      <c r="D19" s="83"/>
      <c r="E19" s="82"/>
    </row>
    <row r="20" spans="1:5" x14ac:dyDescent="0.3">
      <c r="A20" s="34"/>
      <c r="B20" s="1" t="s">
        <v>160</v>
      </c>
      <c r="C20" s="82">
        <v>5000</v>
      </c>
      <c r="D20" s="83">
        <v>0</v>
      </c>
      <c r="E20" s="82">
        <v>5000</v>
      </c>
    </row>
    <row r="21" spans="1:5" x14ac:dyDescent="0.3">
      <c r="A21" s="34"/>
      <c r="B21" s="1" t="s">
        <v>139</v>
      </c>
      <c r="C21" s="82">
        <v>8160</v>
      </c>
      <c r="D21" s="83">
        <v>7680</v>
      </c>
      <c r="E21" s="82">
        <v>7680</v>
      </c>
    </row>
    <row r="22" spans="1:5" x14ac:dyDescent="0.3">
      <c r="A22" s="34"/>
      <c r="B22" s="1" t="s">
        <v>26</v>
      </c>
      <c r="C22" s="82">
        <v>100</v>
      </c>
      <c r="D22" s="83">
        <v>200</v>
      </c>
      <c r="E22" s="82">
        <v>100</v>
      </c>
    </row>
    <row r="23" spans="1:5" x14ac:dyDescent="0.3">
      <c r="A23" s="34"/>
      <c r="B23" s="1" t="s">
        <v>28</v>
      </c>
      <c r="C23" s="82">
        <v>600</v>
      </c>
      <c r="D23" s="82">
        <v>600</v>
      </c>
      <c r="E23" s="82">
        <v>800</v>
      </c>
    </row>
    <row r="24" spans="1:5" x14ac:dyDescent="0.3">
      <c r="A24" s="1"/>
      <c r="B24" s="1" t="s">
        <v>11</v>
      </c>
      <c r="C24" s="82">
        <v>196087.91</v>
      </c>
      <c r="D24" s="82">
        <v>210000</v>
      </c>
      <c r="E24" s="82">
        <v>251250</v>
      </c>
    </row>
    <row r="25" spans="1:5" x14ac:dyDescent="0.3">
      <c r="A25" s="4" t="s">
        <v>22</v>
      </c>
      <c r="B25" s="1" t="s">
        <v>121</v>
      </c>
      <c r="C25" s="82">
        <v>150</v>
      </c>
      <c r="D25" s="82">
        <v>320</v>
      </c>
      <c r="E25" s="82">
        <v>320</v>
      </c>
    </row>
    <row r="26" spans="1:5" x14ac:dyDescent="0.3">
      <c r="A26" s="35"/>
      <c r="B26" s="1" t="s">
        <v>3</v>
      </c>
      <c r="C26" s="82">
        <v>10000</v>
      </c>
      <c r="D26" s="83">
        <v>9500</v>
      </c>
      <c r="E26" s="82">
        <v>10500</v>
      </c>
    </row>
    <row r="27" spans="1:5" x14ac:dyDescent="0.3">
      <c r="A27" s="35"/>
      <c r="B27" s="1" t="s">
        <v>4</v>
      </c>
      <c r="C27" s="82">
        <v>60000</v>
      </c>
      <c r="D27" s="83">
        <v>60000</v>
      </c>
      <c r="E27" s="82">
        <v>60000</v>
      </c>
    </row>
    <row r="28" spans="1:5" x14ac:dyDescent="0.3">
      <c r="A28" s="4" t="s">
        <v>21</v>
      </c>
      <c r="B28" s="1"/>
      <c r="C28" s="82"/>
      <c r="D28" s="83"/>
      <c r="E28" s="82"/>
    </row>
    <row r="29" spans="1:5" x14ac:dyDescent="0.3">
      <c r="A29" s="34"/>
      <c r="B29" s="1" t="s">
        <v>24</v>
      </c>
      <c r="C29" s="82">
        <v>6000</v>
      </c>
      <c r="D29" s="83">
        <v>4800</v>
      </c>
      <c r="E29" s="82">
        <v>5000</v>
      </c>
    </row>
    <row r="30" spans="1:5" x14ac:dyDescent="0.3">
      <c r="A30" s="34"/>
      <c r="B30" s="1" t="s">
        <v>19</v>
      </c>
      <c r="C30" s="82">
        <v>5000</v>
      </c>
      <c r="D30" s="83">
        <v>5000</v>
      </c>
      <c r="E30" s="82">
        <v>5000</v>
      </c>
    </row>
    <row r="31" spans="1:5" x14ac:dyDescent="0.3">
      <c r="A31" s="34"/>
      <c r="B31" s="1" t="s">
        <v>163</v>
      </c>
      <c r="C31" s="82">
        <v>0</v>
      </c>
      <c r="D31" s="83">
        <v>120000</v>
      </c>
      <c r="E31" s="82">
        <v>10000</v>
      </c>
    </row>
    <row r="32" spans="1:5" x14ac:dyDescent="0.3">
      <c r="A32" s="34"/>
      <c r="B32" s="1" t="s">
        <v>7</v>
      </c>
      <c r="C32" s="82">
        <v>16850</v>
      </c>
      <c r="D32" s="83">
        <v>16000</v>
      </c>
      <c r="E32" s="82">
        <f>1600*12</f>
        <v>19200</v>
      </c>
    </row>
    <row r="33" spans="1:8" x14ac:dyDescent="0.3">
      <c r="A33" s="34"/>
      <c r="B33" s="1" t="s">
        <v>5</v>
      </c>
      <c r="C33" s="82">
        <v>13500</v>
      </c>
      <c r="D33" s="83">
        <v>13900</v>
      </c>
      <c r="E33" s="82">
        <v>13500</v>
      </c>
    </row>
    <row r="34" spans="1:8" x14ac:dyDescent="0.3">
      <c r="A34" s="34"/>
      <c r="B34" s="1" t="s">
        <v>173</v>
      </c>
      <c r="C34" s="82">
        <v>16000</v>
      </c>
      <c r="D34" s="83">
        <v>16000</v>
      </c>
      <c r="E34" s="82">
        <v>18720</v>
      </c>
    </row>
    <row r="35" spans="1:8" x14ac:dyDescent="0.3">
      <c r="A35" s="3" t="s">
        <v>20</v>
      </c>
      <c r="B35" s="3"/>
      <c r="C35" s="82"/>
      <c r="D35" s="83"/>
      <c r="E35" s="82"/>
    </row>
    <row r="36" spans="1:8" x14ac:dyDescent="0.3">
      <c r="A36" s="34"/>
      <c r="B36" s="1" t="s">
        <v>174</v>
      </c>
      <c r="C36" s="82">
        <v>5500</v>
      </c>
      <c r="D36" s="83">
        <v>7200</v>
      </c>
      <c r="E36" s="82">
        <v>10000</v>
      </c>
      <c r="G36" s="139" t="s">
        <v>149</v>
      </c>
    </row>
    <row r="37" spans="1:8" x14ac:dyDescent="0.3">
      <c r="A37" s="34"/>
      <c r="B37" s="1" t="s">
        <v>175</v>
      </c>
      <c r="C37" s="82">
        <v>3000</v>
      </c>
      <c r="D37" s="83">
        <v>1500</v>
      </c>
      <c r="E37" s="82">
        <v>2000</v>
      </c>
    </row>
    <row r="38" spans="1:8" x14ac:dyDescent="0.3">
      <c r="A38" s="34"/>
      <c r="B38" s="1" t="s">
        <v>162</v>
      </c>
      <c r="C38" s="82">
        <v>0</v>
      </c>
      <c r="D38" s="83">
        <v>1000</v>
      </c>
      <c r="E38" s="82">
        <v>3000</v>
      </c>
    </row>
    <row r="39" spans="1:8" x14ac:dyDescent="0.3">
      <c r="A39" s="34"/>
      <c r="B39" s="1" t="s">
        <v>161</v>
      </c>
      <c r="C39" s="82">
        <v>500</v>
      </c>
      <c r="D39" s="83">
        <v>800</v>
      </c>
      <c r="E39" s="82">
        <v>1000</v>
      </c>
    </row>
    <row r="40" spans="1:8" x14ac:dyDescent="0.3">
      <c r="A40" s="34"/>
      <c r="B40" s="1" t="s">
        <v>176</v>
      </c>
      <c r="C40" s="82">
        <v>2100</v>
      </c>
      <c r="D40" s="83">
        <v>1400</v>
      </c>
      <c r="E40" s="82">
        <v>2100</v>
      </c>
      <c r="H40" s="79">
        <f>260200-E45</f>
        <v>-207420</v>
      </c>
    </row>
    <row r="41" spans="1:8" x14ac:dyDescent="0.3">
      <c r="A41" s="34"/>
      <c r="B41" s="1" t="s">
        <v>12</v>
      </c>
      <c r="C41" s="82">
        <v>2500</v>
      </c>
      <c r="D41" s="83">
        <v>2000</v>
      </c>
      <c r="E41" s="82">
        <v>2500</v>
      </c>
    </row>
    <row r="42" spans="1:8" x14ac:dyDescent="0.3">
      <c r="A42" s="34"/>
      <c r="B42" s="1" t="s">
        <v>34</v>
      </c>
      <c r="C42" s="82">
        <v>4500</v>
      </c>
      <c r="D42" s="83">
        <v>7000</v>
      </c>
      <c r="E42" s="82">
        <v>10000</v>
      </c>
    </row>
    <row r="43" spans="1:8" x14ac:dyDescent="0.3">
      <c r="A43" s="34"/>
      <c r="B43" s="1" t="s">
        <v>33</v>
      </c>
      <c r="C43" s="82">
        <v>1500</v>
      </c>
      <c r="D43" s="83">
        <v>1200</v>
      </c>
      <c r="E43" s="82">
        <v>1500</v>
      </c>
    </row>
    <row r="44" spans="1:8" ht="16.2" thickBot="1" x14ac:dyDescent="0.35">
      <c r="A44" s="34"/>
      <c r="B44" s="1" t="s">
        <v>31</v>
      </c>
      <c r="C44" s="84">
        <v>3500</v>
      </c>
      <c r="D44" s="85">
        <v>3000</v>
      </c>
      <c r="E44" s="84">
        <v>3500</v>
      </c>
      <c r="G44" s="139" t="s">
        <v>151</v>
      </c>
    </row>
    <row r="45" spans="1:8" x14ac:dyDescent="0.3">
      <c r="A45" s="4" t="s">
        <v>15</v>
      </c>
      <c r="B45" s="4"/>
      <c r="C45" s="66">
        <f>SUM(C14:C44)</f>
        <v>394997.91000000003</v>
      </c>
      <c r="D45" s="66">
        <f>D44+D43+D42+D41+D40+D37+D36+D34+D33+D32+D29+D30+D27+D26+D24+D23+D22+D19+D18+D17+D15+D14</f>
        <v>380300</v>
      </c>
      <c r="E45" s="66">
        <f>SUM(E14:E44)</f>
        <v>467620</v>
      </c>
    </row>
    <row r="46" spans="1:8" x14ac:dyDescent="0.3">
      <c r="A46" s="4"/>
      <c r="B46" s="1" t="s">
        <v>47</v>
      </c>
      <c r="C46" s="86">
        <v>30742</v>
      </c>
      <c r="D46" s="82">
        <f>2561.84*12</f>
        <v>30742.080000000002</v>
      </c>
      <c r="E46" s="86"/>
    </row>
    <row r="47" spans="1:8" x14ac:dyDescent="0.3">
      <c r="A47" s="4"/>
      <c r="B47" s="1" t="s">
        <v>59</v>
      </c>
      <c r="C47" s="86"/>
      <c r="D47" s="82"/>
      <c r="E47" s="86"/>
    </row>
    <row r="48" spans="1:8" x14ac:dyDescent="0.3">
      <c r="A48" s="178" t="s">
        <v>93</v>
      </c>
      <c r="B48" s="178"/>
      <c r="C48" s="67">
        <f>SUM(C45:C47)</f>
        <v>425739.91000000003</v>
      </c>
      <c r="D48" s="81">
        <f>SUM(D45:D47)</f>
        <v>411042.08</v>
      </c>
      <c r="E48" s="67">
        <f>SUM(E45:E47)-E19</f>
        <v>467620</v>
      </c>
      <c r="F48" s="79"/>
    </row>
    <row r="49" spans="1:11" ht="16.2" thickBot="1" x14ac:dyDescent="0.35"/>
    <row r="50" spans="1:11" ht="57" customHeight="1" x14ac:dyDescent="0.3">
      <c r="A50" s="123"/>
      <c r="B50" s="53" t="s">
        <v>69</v>
      </c>
      <c r="C50" s="124" t="s">
        <v>68</v>
      </c>
      <c r="D50" s="147" t="s">
        <v>164</v>
      </c>
      <c r="E50" s="134"/>
      <c r="F50" s="5"/>
    </row>
    <row r="51" spans="1:11" ht="52.8" x14ac:dyDescent="0.3">
      <c r="A51" s="126" t="s">
        <v>63</v>
      </c>
      <c r="B51" s="45" t="s">
        <v>87</v>
      </c>
      <c r="C51" s="46">
        <v>1.2E-2</v>
      </c>
      <c r="D51" s="148">
        <f>(E4*C51)/12</f>
        <v>463.92</v>
      </c>
      <c r="E51" s="79"/>
      <c r="F51" s="79"/>
      <c r="G51" s="78"/>
    </row>
    <row r="52" spans="1:11" ht="75.75" customHeight="1" x14ac:dyDescent="0.3">
      <c r="A52" s="49" t="s">
        <v>64</v>
      </c>
      <c r="B52" s="45" t="s">
        <v>71</v>
      </c>
      <c r="C52" s="46">
        <v>8.0000000000000002E-3</v>
      </c>
      <c r="D52" s="148">
        <f>SUM(E4*C52)/12</f>
        <v>309.28000000000003</v>
      </c>
      <c r="E52" s="79"/>
      <c r="F52" s="79"/>
      <c r="G52" s="78"/>
    </row>
    <row r="53" spans="1:11" ht="52.8" x14ac:dyDescent="0.3">
      <c r="A53" s="49" t="s">
        <v>65</v>
      </c>
      <c r="B53" s="45" t="s">
        <v>72</v>
      </c>
      <c r="C53" s="46">
        <v>1.2999999999999999E-2</v>
      </c>
      <c r="D53" s="148">
        <f>SUM(E4*C53)/12</f>
        <v>502.58</v>
      </c>
      <c r="E53" s="79"/>
      <c r="F53" s="79"/>
      <c r="G53" s="78"/>
    </row>
    <row r="54" spans="1:11" ht="26.4" x14ac:dyDescent="0.3">
      <c r="A54" s="49" t="s">
        <v>66</v>
      </c>
      <c r="B54" s="45" t="s">
        <v>73</v>
      </c>
      <c r="C54" s="46">
        <v>1.0999999999999999E-2</v>
      </c>
      <c r="D54" s="148">
        <f>SUM(E4*C54)/12</f>
        <v>425.26</v>
      </c>
      <c r="E54" s="79"/>
      <c r="F54" s="79"/>
      <c r="G54" s="78"/>
    </row>
    <row r="55" spans="1:11" ht="15" thickBot="1" x14ac:dyDescent="0.35">
      <c r="A55" s="50" t="s">
        <v>67</v>
      </c>
      <c r="B55" s="51" t="s">
        <v>74</v>
      </c>
      <c r="C55" s="128">
        <v>8.9999999999999993E-3</v>
      </c>
      <c r="D55" s="148">
        <f>SUM(E4*C55)/12</f>
        <v>347.94</v>
      </c>
      <c r="E55" s="79"/>
      <c r="F55" s="79"/>
      <c r="G55" s="78"/>
    </row>
    <row r="56" spans="1:11" x14ac:dyDescent="0.3">
      <c r="A56" s="4"/>
      <c r="B56" s="5"/>
      <c r="C56" s="6"/>
      <c r="D56" s="149">
        <f>SUM(D51:D55)</f>
        <v>2048.98</v>
      </c>
      <c r="I56" s="61"/>
      <c r="J56" s="79"/>
      <c r="K56" s="79">
        <f>SUM(G51:G55)</f>
        <v>0</v>
      </c>
    </row>
    <row r="57" spans="1:11" x14ac:dyDescent="0.3">
      <c r="C57" s="32"/>
      <c r="J57" s="79"/>
      <c r="K57" s="79" t="e">
        <f>K56-#REF!</f>
        <v>#REF!</v>
      </c>
    </row>
    <row r="58" spans="1:11" x14ac:dyDescent="0.3">
      <c r="A58" s="1"/>
      <c r="C58" s="32"/>
    </row>
    <row r="59" spans="1:11" x14ac:dyDescent="0.3">
      <c r="C59" s="32"/>
    </row>
    <row r="60" spans="1:11" x14ac:dyDescent="0.3">
      <c r="A60" s="1"/>
      <c r="C60" s="32"/>
    </row>
    <row r="61" spans="1:11" x14ac:dyDescent="0.3">
      <c r="A61" s="1"/>
      <c r="C61" s="32"/>
    </row>
    <row r="62" spans="1:11" x14ac:dyDescent="0.3">
      <c r="A62" s="1"/>
    </row>
  </sheetData>
  <mergeCells count="2">
    <mergeCell ref="B1:E1"/>
    <mergeCell ref="A48:B48"/>
  </mergeCells>
  <pageMargins left="0" right="0" top="0" bottom="0" header="0.3" footer="0.3"/>
  <pageSetup scale="72" orientation="portrait" horizontalDpi="300" verticalDpi="300" r:id="rId1"/>
  <headerFooter>
    <oddHeader xml:space="preserve">&amp;CCentre Hill Courts Condo
Budget for 2022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DDDB-2E76-46AB-979C-443F36E4DBB4}">
  <sheetPr>
    <tabColor rgb="FFFFFF00"/>
  </sheetPr>
  <dimension ref="A1:P22"/>
  <sheetViews>
    <sheetView view="pageBreakPreview" topLeftCell="A3" zoomScaleNormal="100" zoomScaleSheetLayoutView="100" workbookViewId="0">
      <selection activeCell="J6" sqref="J6"/>
    </sheetView>
  </sheetViews>
  <sheetFormatPr defaultColWidth="9" defaultRowHeight="14.4" x14ac:dyDescent="0.3"/>
  <cols>
    <col min="1" max="1" width="17" bestFit="1" customWidth="1"/>
    <col min="2" max="2" width="11" bestFit="1" customWidth="1"/>
    <col min="3" max="3" width="16.44140625" bestFit="1" customWidth="1"/>
    <col min="4" max="4" width="15.44140625" bestFit="1" customWidth="1"/>
    <col min="5" max="5" width="12.21875" bestFit="1" customWidth="1"/>
    <col min="6" max="6" width="14.5546875" customWidth="1"/>
    <col min="7" max="7" width="16.21875" bestFit="1" customWidth="1"/>
    <col min="8" max="8" width="18.5546875" customWidth="1"/>
    <col min="9" max="9" width="16.21875" bestFit="1" customWidth="1"/>
    <col min="10" max="10" width="24.21875" bestFit="1" customWidth="1"/>
    <col min="11" max="11" width="15.5546875" customWidth="1"/>
    <col min="13" max="13" width="22.44140625" customWidth="1"/>
    <col min="15" max="15" width="12.44140625" bestFit="1" customWidth="1"/>
  </cols>
  <sheetData>
    <row r="1" spans="1:16" ht="22.8" x14ac:dyDescent="0.4">
      <c r="A1" s="162" t="s">
        <v>165</v>
      </c>
      <c r="B1" s="162"/>
      <c r="C1" s="162"/>
      <c r="D1" s="162"/>
      <c r="E1" s="162"/>
      <c r="F1" s="162"/>
      <c r="G1" s="162"/>
      <c r="H1" s="162"/>
      <c r="I1" s="162"/>
    </row>
    <row r="2" spans="1:16" ht="25.5" customHeight="1" thickBot="1" x14ac:dyDescent="0.35"/>
    <row r="3" spans="1:16" ht="15.6" x14ac:dyDescent="0.3">
      <c r="A3" s="7" t="s">
        <v>36</v>
      </c>
      <c r="B3" s="8" t="s">
        <v>37</v>
      </c>
      <c r="C3" s="8" t="s">
        <v>37</v>
      </c>
      <c r="D3" s="8" t="s">
        <v>38</v>
      </c>
      <c r="E3" s="9" t="s">
        <v>39</v>
      </c>
      <c r="F3" s="8" t="s">
        <v>40</v>
      </c>
      <c r="G3" s="8" t="s">
        <v>41</v>
      </c>
      <c r="H3" s="163" t="s">
        <v>42</v>
      </c>
      <c r="I3" s="164"/>
      <c r="J3" s="10" t="s">
        <v>42</v>
      </c>
      <c r="M3" s="11"/>
      <c r="N3" s="12"/>
    </row>
    <row r="4" spans="1:16" ht="15.6" x14ac:dyDescent="0.3">
      <c r="A4" s="13"/>
      <c r="B4" s="14" t="s">
        <v>43</v>
      </c>
      <c r="C4" s="14" t="s">
        <v>44</v>
      </c>
      <c r="D4" s="14" t="s">
        <v>45</v>
      </c>
      <c r="E4" s="15" t="s">
        <v>46</v>
      </c>
      <c r="F4" s="14" t="s">
        <v>47</v>
      </c>
      <c r="G4" s="14" t="s">
        <v>42</v>
      </c>
      <c r="H4" s="165" t="s">
        <v>166</v>
      </c>
      <c r="I4" s="166"/>
      <c r="J4" s="16" t="s">
        <v>167</v>
      </c>
      <c r="M4" s="11"/>
      <c r="N4" s="12"/>
    </row>
    <row r="5" spans="1:16" ht="15.6" x14ac:dyDescent="0.3">
      <c r="A5" s="13"/>
      <c r="B5" s="14"/>
      <c r="C5" s="14"/>
      <c r="D5" s="14"/>
      <c r="E5" s="15" t="s">
        <v>49</v>
      </c>
      <c r="F5" s="17">
        <v>45291</v>
      </c>
      <c r="G5" s="14" t="s">
        <v>50</v>
      </c>
      <c r="H5" s="165" t="s">
        <v>51</v>
      </c>
      <c r="I5" s="166"/>
      <c r="J5" s="16" t="s">
        <v>52</v>
      </c>
      <c r="M5" s="11"/>
      <c r="N5" s="12"/>
    </row>
    <row r="6" spans="1:16" ht="15.6" x14ac:dyDescent="0.3">
      <c r="A6" s="18" t="s">
        <v>53</v>
      </c>
      <c r="B6" s="19">
        <v>20</v>
      </c>
      <c r="C6" s="20">
        <v>650000</v>
      </c>
      <c r="D6" s="19">
        <v>17</v>
      </c>
      <c r="E6" s="21">
        <v>0.25</v>
      </c>
      <c r="F6" s="22">
        <v>6593.26</v>
      </c>
      <c r="G6" s="22">
        <f>SUM((C6-F6))</f>
        <v>643406.74</v>
      </c>
      <c r="H6" s="167">
        <f>SUM(G6/D6)</f>
        <v>37847.455294117644</v>
      </c>
      <c r="I6" s="168"/>
      <c r="J6" s="23">
        <f>C6/D6*0.2</f>
        <v>7647.0588235294117</v>
      </c>
      <c r="K6" s="79">
        <f t="shared" ref="K6:K11" si="0">H6*0.2</f>
        <v>7569.4910588235289</v>
      </c>
      <c r="M6" s="11"/>
      <c r="N6" s="12"/>
    </row>
    <row r="7" spans="1:16" ht="15.6" x14ac:dyDescent="0.3">
      <c r="A7" s="18" t="s">
        <v>107</v>
      </c>
      <c r="B7" s="19">
        <v>30</v>
      </c>
      <c r="C7" s="20">
        <v>500000</v>
      </c>
      <c r="D7" s="19">
        <v>27</v>
      </c>
      <c r="E7" s="21">
        <v>0.1</v>
      </c>
      <c r="F7" s="22">
        <v>0</v>
      </c>
      <c r="G7" s="22">
        <v>450000</v>
      </c>
      <c r="H7" s="167">
        <f>G7/50</f>
        <v>9000</v>
      </c>
      <c r="I7" s="168"/>
      <c r="J7" s="23">
        <f>H7*0.2</f>
        <v>1800</v>
      </c>
      <c r="K7" s="79">
        <f t="shared" si="0"/>
        <v>1800</v>
      </c>
      <c r="M7" s="11"/>
      <c r="N7" s="12"/>
    </row>
    <row r="8" spans="1:16" ht="15.6" x14ac:dyDescent="0.3">
      <c r="A8" s="18" t="s">
        <v>58</v>
      </c>
      <c r="B8" s="19">
        <v>8</v>
      </c>
      <c r="C8" s="22">
        <v>50000</v>
      </c>
      <c r="D8" s="19">
        <v>2</v>
      </c>
      <c r="E8" s="21">
        <v>0.1</v>
      </c>
      <c r="F8" s="22">
        <v>8112.36</v>
      </c>
      <c r="G8" s="22">
        <f>SUM(C8-F8)</f>
        <v>41887.64</v>
      </c>
      <c r="H8" s="167">
        <f>SUM(G8/D8)</f>
        <v>20943.82</v>
      </c>
      <c r="I8" s="168"/>
      <c r="J8" s="23">
        <f>C8/D8*0.2</f>
        <v>5000</v>
      </c>
      <c r="K8" s="79">
        <f t="shared" si="0"/>
        <v>4188.7640000000001</v>
      </c>
      <c r="M8" s="11"/>
      <c r="N8" s="12"/>
    </row>
    <row r="9" spans="1:16" ht="27" x14ac:dyDescent="0.3">
      <c r="A9" s="30" t="s">
        <v>59</v>
      </c>
      <c r="B9" s="19">
        <v>30</v>
      </c>
      <c r="C9" s="22">
        <v>150000</v>
      </c>
      <c r="D9" s="19">
        <v>18</v>
      </c>
      <c r="E9" s="21">
        <v>0.25</v>
      </c>
      <c r="F9" s="22">
        <v>1280.9000000000001</v>
      </c>
      <c r="G9" s="22">
        <f>SUM(C9-F9)</f>
        <v>148719.1</v>
      </c>
      <c r="H9" s="167">
        <f>SUM(G9/D9)</f>
        <v>8262.1722222222234</v>
      </c>
      <c r="I9" s="168"/>
      <c r="J9" s="23">
        <f>C9/D9*0.2</f>
        <v>1666.666666666667</v>
      </c>
      <c r="K9" s="79">
        <f t="shared" si="0"/>
        <v>1652.4344444444448</v>
      </c>
      <c r="M9" s="11"/>
      <c r="N9" s="12"/>
    </row>
    <row r="10" spans="1:16" ht="15.6" x14ac:dyDescent="0.3">
      <c r="A10" s="18" t="s">
        <v>54</v>
      </c>
      <c r="B10" s="19">
        <v>20</v>
      </c>
      <c r="C10" s="22">
        <v>80000</v>
      </c>
      <c r="D10" s="19">
        <v>2</v>
      </c>
      <c r="E10" s="21">
        <v>0.15</v>
      </c>
      <c r="F10" s="22">
        <v>19968.54</v>
      </c>
      <c r="G10" s="22">
        <f>SUM(C10-F10)</f>
        <v>60031.46</v>
      </c>
      <c r="H10" s="167">
        <f>SUM(G10/D10)</f>
        <v>30015.73</v>
      </c>
      <c r="I10" s="168"/>
      <c r="J10" s="24">
        <f>C10/D10*0.2</f>
        <v>8000</v>
      </c>
      <c r="K10" s="79">
        <f t="shared" si="0"/>
        <v>6003.1460000000006</v>
      </c>
      <c r="M10" s="11" t="s">
        <v>104</v>
      </c>
      <c r="N10" s="12"/>
    </row>
    <row r="11" spans="1:16" x14ac:dyDescent="0.3">
      <c r="A11" s="18" t="s">
        <v>55</v>
      </c>
      <c r="B11" s="19">
        <v>8</v>
      </c>
      <c r="C11" s="22">
        <v>85000</v>
      </c>
      <c r="D11" s="19">
        <v>1</v>
      </c>
      <c r="E11" s="21">
        <v>0.15</v>
      </c>
      <c r="F11" s="22">
        <v>19968.54</v>
      </c>
      <c r="G11" s="22">
        <f>SUM(C11-F11)</f>
        <v>65031.46</v>
      </c>
      <c r="H11" s="167">
        <f>SUM(G11/D11)</f>
        <v>65031.46</v>
      </c>
      <c r="I11" s="168"/>
      <c r="J11" s="24">
        <f>C11/D11*0.2</f>
        <v>17000</v>
      </c>
      <c r="K11" s="79">
        <f t="shared" si="0"/>
        <v>13006.292000000001</v>
      </c>
      <c r="P11">
        <f>11150/12</f>
        <v>929.16666666666663</v>
      </c>
    </row>
    <row r="12" spans="1:16" ht="25.5" customHeight="1" thickBot="1" x14ac:dyDescent="0.35">
      <c r="A12" s="25" t="s">
        <v>56</v>
      </c>
      <c r="B12" s="26"/>
      <c r="C12" s="27">
        <f>SUM(C6:C11)</f>
        <v>1515000</v>
      </c>
      <c r="D12" s="26"/>
      <c r="E12" s="28">
        <f>SUM(E6:E11)</f>
        <v>1</v>
      </c>
      <c r="F12" s="112">
        <f>SUM(F6:F11)</f>
        <v>55923.6</v>
      </c>
      <c r="G12" s="27">
        <f>SUM(G6:G11)</f>
        <v>1409076.4</v>
      </c>
      <c r="H12" s="169">
        <f>SUM(H6:I11)</f>
        <v>171100.63751633986</v>
      </c>
      <c r="I12" s="170"/>
      <c r="J12" s="29">
        <f>SUM(J6:J11)</f>
        <v>41113.725490196084</v>
      </c>
      <c r="K12" s="79">
        <f>SUM(K6:K11)</f>
        <v>34220.127503267977</v>
      </c>
      <c r="P12" t="s">
        <v>105</v>
      </c>
    </row>
    <row r="13" spans="1:16" ht="25.5" customHeight="1" x14ac:dyDescent="0.3">
      <c r="M13" s="79">
        <f>J12/12</f>
        <v>3426.1437908496737</v>
      </c>
    </row>
    <row r="14" spans="1:16" s="55" customFormat="1" ht="93.75" customHeight="1" x14ac:dyDescent="0.3">
      <c r="A14" s="113"/>
      <c r="B14" s="185" t="s">
        <v>69</v>
      </c>
      <c r="C14" s="185"/>
      <c r="D14" s="115" t="s">
        <v>68</v>
      </c>
      <c r="E14" s="186" t="s">
        <v>75</v>
      </c>
      <c r="F14" s="187"/>
      <c r="G14" s="115" t="s">
        <v>78</v>
      </c>
      <c r="H14" s="119" t="s">
        <v>76</v>
      </c>
      <c r="I14" s="115" t="s">
        <v>128</v>
      </c>
      <c r="J14" s="122" t="s">
        <v>126</v>
      </c>
      <c r="K14" s="142" t="s">
        <v>147</v>
      </c>
    </row>
    <row r="15" spans="1:16" s="55" customFormat="1" ht="81.75" customHeight="1" x14ac:dyDescent="0.3">
      <c r="A15" s="113" t="s">
        <v>63</v>
      </c>
      <c r="B15" s="188" t="s">
        <v>87</v>
      </c>
      <c r="C15" s="188"/>
      <c r="D15" s="188"/>
      <c r="E15" s="113">
        <v>1.2E-2</v>
      </c>
      <c r="F15" s="144">
        <f>SUM('budget 2024'!D51)</f>
        <v>463.92</v>
      </c>
      <c r="G15" s="144">
        <f>SUM(H12*E15/12)</f>
        <v>171.10063751633984</v>
      </c>
      <c r="H15" s="145">
        <f>SUM(F15+G15)</f>
        <v>635.02063751633989</v>
      </c>
      <c r="I15" s="144">
        <f>SUM(G15*0.2)</f>
        <v>34.220127503267967</v>
      </c>
      <c r="J15" s="146">
        <f>F15+I15</f>
        <v>498.14012750326799</v>
      </c>
      <c r="K15" s="141">
        <v>261.41853947368423</v>
      </c>
      <c r="M15" s="137">
        <f>I15*24*12</f>
        <v>9855.3967209411749</v>
      </c>
    </row>
    <row r="16" spans="1:16" s="55" customFormat="1" ht="60" customHeight="1" x14ac:dyDescent="0.3">
      <c r="A16" s="113" t="s">
        <v>64</v>
      </c>
      <c r="B16" s="188" t="s">
        <v>71</v>
      </c>
      <c r="C16" s="188"/>
      <c r="D16" s="188"/>
      <c r="E16" s="113">
        <v>8.0000000000000002E-3</v>
      </c>
      <c r="F16" s="144">
        <f>'budget 2024'!D52</f>
        <v>309.28000000000003</v>
      </c>
      <c r="G16" s="144">
        <f>SUM(H12*E16/12)</f>
        <v>114.06709167755992</v>
      </c>
      <c r="H16" s="145">
        <f>SUM(F16+G16)</f>
        <v>423.34709167755994</v>
      </c>
      <c r="I16" s="144">
        <f>SUM(G16*0.2)</f>
        <v>22.813418335511983</v>
      </c>
      <c r="J16" s="146">
        <f>F16+I16</f>
        <v>332.09341833551201</v>
      </c>
      <c r="K16" s="141">
        <v>174.27902631578948</v>
      </c>
      <c r="M16" s="137">
        <f>I16*24*12</f>
        <v>6570.2644806274511</v>
      </c>
    </row>
    <row r="17" spans="1:14" s="55" customFormat="1" ht="54.75" customHeight="1" x14ac:dyDescent="0.35">
      <c r="A17" s="113" t="s">
        <v>65</v>
      </c>
      <c r="B17" s="188" t="s">
        <v>72</v>
      </c>
      <c r="C17" s="188"/>
      <c r="D17" s="188"/>
      <c r="E17" s="113">
        <v>1.2999999999999999E-2</v>
      </c>
      <c r="F17" s="144">
        <f>'budget 2024'!D53</f>
        <v>502.58</v>
      </c>
      <c r="G17" s="144">
        <f>SUM(H12*E17/12)</f>
        <v>185.35902397603482</v>
      </c>
      <c r="H17" s="145">
        <f>SUM(F17+G17)</f>
        <v>687.93902397603483</v>
      </c>
      <c r="I17" s="144">
        <f>SUM(G17*0.2)</f>
        <v>37.071804795206965</v>
      </c>
      <c r="J17" s="146">
        <f>F17+I17</f>
        <v>539.651804795207</v>
      </c>
      <c r="K17" s="141">
        <v>283.20341776315786</v>
      </c>
      <c r="L17" s="58"/>
      <c r="M17" s="137">
        <f>I17*24*12</f>
        <v>10676.679781019608</v>
      </c>
    </row>
    <row r="18" spans="1:14" s="55" customFormat="1" ht="42" customHeight="1" x14ac:dyDescent="0.3">
      <c r="A18" s="113" t="s">
        <v>66</v>
      </c>
      <c r="B18" s="188" t="s">
        <v>73</v>
      </c>
      <c r="C18" s="188"/>
      <c r="D18" s="188"/>
      <c r="E18" s="113">
        <v>1.0999999999999999E-2</v>
      </c>
      <c r="F18" s="144">
        <f>'budget 2024'!D54</f>
        <v>425.26</v>
      </c>
      <c r="G18" s="144">
        <f>SUM(H12*E18/12)</f>
        <v>156.84225105664487</v>
      </c>
      <c r="H18" s="145">
        <f>SUM(F18+G18)</f>
        <v>582.10225105664483</v>
      </c>
      <c r="I18" s="144">
        <f>SUM(G18*0.2)</f>
        <v>31.368450211328977</v>
      </c>
      <c r="J18" s="146">
        <f>F18+I18</f>
        <v>456.62845021132898</v>
      </c>
      <c r="K18" s="141">
        <v>239.6336611842105</v>
      </c>
      <c r="M18" s="137">
        <f>I18*14*12</f>
        <v>5269.8996355032677</v>
      </c>
    </row>
    <row r="19" spans="1:14" s="55" customFormat="1" ht="33.75" customHeight="1" x14ac:dyDescent="0.3">
      <c r="A19" s="113" t="s">
        <v>67</v>
      </c>
      <c r="B19" s="188" t="s">
        <v>74</v>
      </c>
      <c r="C19" s="188"/>
      <c r="D19" s="188"/>
      <c r="E19" s="113">
        <v>8.9999999999999993E-3</v>
      </c>
      <c r="F19" s="144">
        <f>'budget 2024'!D55</f>
        <v>347.94</v>
      </c>
      <c r="G19" s="144">
        <f>SUM(H12*E19/12)</f>
        <v>128.32547813725489</v>
      </c>
      <c r="H19" s="145">
        <f>SUM(F19+G19)</f>
        <v>476.26547813725489</v>
      </c>
      <c r="I19" s="144">
        <f>SUM(G19*0.2)</f>
        <v>25.665095627450981</v>
      </c>
      <c r="J19" s="146">
        <f>F19+I19</f>
        <v>373.60509562745096</v>
      </c>
      <c r="K19" s="141">
        <v>196.06390460526313</v>
      </c>
      <c r="M19" s="137">
        <f>I19*6*12</f>
        <v>1847.8868851764705</v>
      </c>
    </row>
    <row r="20" spans="1:14" ht="15" thickBot="1" x14ac:dyDescent="0.35">
      <c r="M20" s="79">
        <f>SUM(M15+M16+M17+M18+M19)</f>
        <v>34220.12750326797</v>
      </c>
      <c r="N20" s="79">
        <f>M20/12</f>
        <v>2851.6772919389973</v>
      </c>
    </row>
    <row r="21" spans="1:14" ht="35.25" customHeight="1" x14ac:dyDescent="0.3">
      <c r="A21" s="179" t="s">
        <v>177</v>
      </c>
      <c r="B21" s="180"/>
      <c r="C21" s="180"/>
      <c r="D21" s="180"/>
      <c r="E21" s="180"/>
      <c r="F21" s="180"/>
      <c r="G21" s="180"/>
      <c r="H21" s="180"/>
      <c r="I21" s="180"/>
      <c r="J21" s="181"/>
    </row>
    <row r="22" spans="1:14" ht="56.1" customHeight="1" thickBot="1" x14ac:dyDescent="0.35">
      <c r="A22" s="182"/>
      <c r="B22" s="183"/>
      <c r="C22" s="183"/>
      <c r="D22" s="183"/>
      <c r="E22" s="183"/>
      <c r="F22" s="183"/>
      <c r="G22" s="183"/>
      <c r="H22" s="183"/>
      <c r="I22" s="183"/>
      <c r="J22" s="184"/>
    </row>
  </sheetData>
  <mergeCells count="19">
    <mergeCell ref="A21:J22"/>
    <mergeCell ref="H8:I8"/>
    <mergeCell ref="H9:I9"/>
    <mergeCell ref="H10:I10"/>
    <mergeCell ref="H11:I11"/>
    <mergeCell ref="H12:I12"/>
    <mergeCell ref="B14:C14"/>
    <mergeCell ref="E14:F14"/>
    <mergeCell ref="B15:D15"/>
    <mergeCell ref="B16:D16"/>
    <mergeCell ref="B17:D17"/>
    <mergeCell ref="B18:D18"/>
    <mergeCell ref="B19:D19"/>
    <mergeCell ref="H7:I7"/>
    <mergeCell ref="A1:I1"/>
    <mergeCell ref="H3:I3"/>
    <mergeCell ref="H4:I4"/>
    <mergeCell ref="H5:I5"/>
    <mergeCell ref="H6:I6"/>
  </mergeCells>
  <pageMargins left="0.25" right="0.25" top="0.75" bottom="0.75" header="0.3" footer="0.3"/>
  <pageSetup scale="6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3650-F3F2-4957-B5D4-484039FC6CC3}">
  <sheetPr>
    <tabColor rgb="FFFFFF00"/>
  </sheetPr>
  <dimension ref="A1:P22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4.4" x14ac:dyDescent="0.3"/>
  <cols>
    <col min="1" max="1" width="17" bestFit="1" customWidth="1"/>
    <col min="2" max="2" width="11" bestFit="1" customWidth="1"/>
    <col min="3" max="3" width="16.44140625" bestFit="1" customWidth="1"/>
    <col min="4" max="4" width="15.44140625" bestFit="1" customWidth="1"/>
    <col min="5" max="5" width="12.21875" bestFit="1" customWidth="1"/>
    <col min="6" max="6" width="14.5546875" customWidth="1"/>
    <col min="7" max="7" width="16.21875" bestFit="1" customWidth="1"/>
    <col min="8" max="8" width="18.5546875" customWidth="1"/>
    <col min="9" max="9" width="16.21875" bestFit="1" customWidth="1"/>
    <col min="10" max="10" width="24.21875" bestFit="1" customWidth="1"/>
    <col min="11" max="11" width="15.5546875" customWidth="1"/>
    <col min="13" max="13" width="22.44140625" customWidth="1"/>
    <col min="15" max="15" width="12.44140625" bestFit="1" customWidth="1"/>
  </cols>
  <sheetData>
    <row r="1" spans="1:16" ht="22.8" x14ac:dyDescent="0.4">
      <c r="A1" s="162" t="s">
        <v>165</v>
      </c>
      <c r="B1" s="162"/>
      <c r="C1" s="162"/>
      <c r="D1" s="162"/>
      <c r="E1" s="162"/>
      <c r="F1" s="162"/>
      <c r="G1" s="162"/>
      <c r="H1" s="162"/>
      <c r="I1" s="162"/>
    </row>
    <row r="2" spans="1:16" ht="25.5" customHeight="1" thickBot="1" x14ac:dyDescent="0.35"/>
    <row r="3" spans="1:16" ht="15.6" x14ac:dyDescent="0.3">
      <c r="A3" s="7" t="s">
        <v>36</v>
      </c>
      <c r="B3" s="8" t="s">
        <v>37</v>
      </c>
      <c r="C3" s="8" t="s">
        <v>37</v>
      </c>
      <c r="D3" s="8" t="s">
        <v>38</v>
      </c>
      <c r="E3" s="9" t="s">
        <v>39</v>
      </c>
      <c r="F3" s="8" t="s">
        <v>40</v>
      </c>
      <c r="G3" s="8" t="s">
        <v>41</v>
      </c>
      <c r="H3" s="163" t="s">
        <v>42</v>
      </c>
      <c r="I3" s="164"/>
      <c r="J3" s="10" t="s">
        <v>42</v>
      </c>
      <c r="M3" s="11"/>
      <c r="N3" s="12"/>
    </row>
    <row r="4" spans="1:16" ht="15.6" x14ac:dyDescent="0.3">
      <c r="A4" s="13"/>
      <c r="B4" s="14" t="s">
        <v>43</v>
      </c>
      <c r="C4" s="14" t="s">
        <v>44</v>
      </c>
      <c r="D4" s="14" t="s">
        <v>45</v>
      </c>
      <c r="E4" s="15" t="s">
        <v>46</v>
      </c>
      <c r="F4" s="14" t="s">
        <v>47</v>
      </c>
      <c r="G4" s="14" t="s">
        <v>42</v>
      </c>
      <c r="H4" s="165" t="s">
        <v>166</v>
      </c>
      <c r="I4" s="166"/>
      <c r="J4" s="16" t="s">
        <v>167</v>
      </c>
      <c r="M4" s="11"/>
      <c r="N4" s="12"/>
    </row>
    <row r="5" spans="1:16" ht="15.6" x14ac:dyDescent="0.3">
      <c r="A5" s="13"/>
      <c r="B5" s="14"/>
      <c r="C5" s="14"/>
      <c r="D5" s="14"/>
      <c r="E5" s="15" t="s">
        <v>49</v>
      </c>
      <c r="F5" s="17">
        <v>45291</v>
      </c>
      <c r="G5" s="14" t="s">
        <v>50</v>
      </c>
      <c r="H5" s="165" t="s">
        <v>51</v>
      </c>
      <c r="I5" s="166"/>
      <c r="J5" s="16" t="s">
        <v>52</v>
      </c>
      <c r="M5" s="11"/>
      <c r="N5" s="12"/>
    </row>
    <row r="6" spans="1:16" ht="15.6" x14ac:dyDescent="0.3">
      <c r="A6" s="18" t="s">
        <v>53</v>
      </c>
      <c r="B6" s="19">
        <v>20</v>
      </c>
      <c r="C6" s="20">
        <v>650000</v>
      </c>
      <c r="D6" s="19">
        <v>17</v>
      </c>
      <c r="E6" s="21">
        <v>0.25</v>
      </c>
      <c r="F6" s="22">
        <v>6593.26</v>
      </c>
      <c r="G6" s="22">
        <f>SUM((C6-F6))</f>
        <v>643406.74</v>
      </c>
      <c r="H6" s="167">
        <f>SUM(G6/D6)</f>
        <v>37847.455294117644</v>
      </c>
      <c r="I6" s="168"/>
      <c r="J6" s="23">
        <f t="shared" ref="J6:J11" si="0">H6*0.2</f>
        <v>7569.4910588235289</v>
      </c>
      <c r="K6" s="79">
        <f t="shared" ref="K6:K11" si="1">H6*0.2</f>
        <v>7569.4910588235289</v>
      </c>
      <c r="M6" s="11"/>
      <c r="N6" s="12"/>
    </row>
    <row r="7" spans="1:16" ht="15.6" x14ac:dyDescent="0.3">
      <c r="A7" s="18" t="s">
        <v>107</v>
      </c>
      <c r="B7" s="19">
        <v>30</v>
      </c>
      <c r="C7" s="20">
        <v>500000</v>
      </c>
      <c r="D7" s="19">
        <v>27</v>
      </c>
      <c r="E7" s="21">
        <v>0.1</v>
      </c>
      <c r="F7" s="22">
        <v>0</v>
      </c>
      <c r="G7" s="22">
        <v>450000</v>
      </c>
      <c r="H7" s="167">
        <f>G7/50</f>
        <v>9000</v>
      </c>
      <c r="I7" s="168"/>
      <c r="J7" s="23">
        <f t="shared" si="0"/>
        <v>1800</v>
      </c>
      <c r="K7" s="79">
        <f t="shared" si="1"/>
        <v>1800</v>
      </c>
      <c r="M7" s="11"/>
      <c r="N7" s="12"/>
    </row>
    <row r="8" spans="1:16" ht="15.6" x14ac:dyDescent="0.3">
      <c r="A8" s="18" t="s">
        <v>58</v>
      </c>
      <c r="B8" s="19">
        <v>8</v>
      </c>
      <c r="C8" s="22">
        <v>50000</v>
      </c>
      <c r="D8" s="19">
        <v>2</v>
      </c>
      <c r="E8" s="21">
        <v>0.1</v>
      </c>
      <c r="F8" s="22">
        <v>8112.36</v>
      </c>
      <c r="G8" s="22">
        <f>SUM(C8-F8)</f>
        <v>41887.64</v>
      </c>
      <c r="H8" s="167">
        <f>SUM(G8/D8)</f>
        <v>20943.82</v>
      </c>
      <c r="I8" s="168"/>
      <c r="J8" s="23">
        <f t="shared" si="0"/>
        <v>4188.7640000000001</v>
      </c>
      <c r="K8" s="79">
        <f t="shared" si="1"/>
        <v>4188.7640000000001</v>
      </c>
      <c r="M8" s="11"/>
      <c r="N8" s="12"/>
    </row>
    <row r="9" spans="1:16" ht="27" x14ac:dyDescent="0.3">
      <c r="A9" s="30" t="s">
        <v>59</v>
      </c>
      <c r="B9" s="19">
        <v>30</v>
      </c>
      <c r="C9" s="22">
        <v>150000</v>
      </c>
      <c r="D9" s="19">
        <v>18</v>
      </c>
      <c r="E9" s="21">
        <v>0.25</v>
      </c>
      <c r="F9" s="22">
        <v>1280.9000000000001</v>
      </c>
      <c r="G9" s="22">
        <f>SUM(C9-F9)</f>
        <v>148719.1</v>
      </c>
      <c r="H9" s="167">
        <f>SUM(G9/D9)</f>
        <v>8262.1722222222234</v>
      </c>
      <c r="I9" s="168"/>
      <c r="J9" s="23">
        <f t="shared" si="0"/>
        <v>1652.4344444444448</v>
      </c>
      <c r="K9" s="79">
        <f t="shared" si="1"/>
        <v>1652.4344444444448</v>
      </c>
      <c r="M9" s="11"/>
      <c r="N9" s="12"/>
    </row>
    <row r="10" spans="1:16" ht="15.6" x14ac:dyDescent="0.3">
      <c r="A10" s="18" t="s">
        <v>54</v>
      </c>
      <c r="B10" s="19">
        <v>20</v>
      </c>
      <c r="C10" s="22">
        <v>80000</v>
      </c>
      <c r="D10" s="19">
        <v>2</v>
      </c>
      <c r="E10" s="21">
        <v>0.15</v>
      </c>
      <c r="F10" s="22">
        <v>19968.54</v>
      </c>
      <c r="G10" s="22">
        <f>SUM(C10-F10)</f>
        <v>60031.46</v>
      </c>
      <c r="H10" s="167">
        <f>SUM(G10/D10)</f>
        <v>30015.73</v>
      </c>
      <c r="I10" s="168"/>
      <c r="J10" s="24">
        <f t="shared" si="0"/>
        <v>6003.1460000000006</v>
      </c>
      <c r="K10" s="79">
        <f t="shared" si="1"/>
        <v>6003.1460000000006</v>
      </c>
      <c r="M10" s="11" t="s">
        <v>104</v>
      </c>
      <c r="N10" s="12"/>
    </row>
    <row r="11" spans="1:16" x14ac:dyDescent="0.3">
      <c r="A11" s="18" t="s">
        <v>55</v>
      </c>
      <c r="B11" s="19">
        <v>8</v>
      </c>
      <c r="C11" s="22">
        <v>85000</v>
      </c>
      <c r="D11" s="19">
        <v>1</v>
      </c>
      <c r="E11" s="21">
        <v>0.15</v>
      </c>
      <c r="F11" s="22">
        <v>19968.54</v>
      </c>
      <c r="G11" s="22">
        <f>SUM(C11-F11)</f>
        <v>65031.46</v>
      </c>
      <c r="H11" s="167">
        <f>SUM(G11/D11)</f>
        <v>65031.46</v>
      </c>
      <c r="I11" s="168"/>
      <c r="J11" s="24">
        <f t="shared" si="0"/>
        <v>13006.292000000001</v>
      </c>
      <c r="K11" s="79">
        <f t="shared" si="1"/>
        <v>13006.292000000001</v>
      </c>
      <c r="P11">
        <f>11150/12</f>
        <v>929.16666666666663</v>
      </c>
    </row>
    <row r="12" spans="1:16" ht="25.5" customHeight="1" thickBot="1" x14ac:dyDescent="0.35">
      <c r="A12" s="25" t="s">
        <v>56</v>
      </c>
      <c r="B12" s="26"/>
      <c r="C12" s="27">
        <f>SUM(C6:C11)</f>
        <v>1515000</v>
      </c>
      <c r="D12" s="26"/>
      <c r="E12" s="28">
        <f>SUM(E6:E11)</f>
        <v>1</v>
      </c>
      <c r="F12" s="112">
        <f>SUM(F6:F11)</f>
        <v>55923.6</v>
      </c>
      <c r="G12" s="27">
        <f>SUM(G6:G11)</f>
        <v>1409076.4</v>
      </c>
      <c r="H12" s="169">
        <f>SUM(H6:I11)</f>
        <v>171100.63751633986</v>
      </c>
      <c r="I12" s="170"/>
      <c r="J12" s="150">
        <f>SUM(J6:J11)</f>
        <v>34220.127503267977</v>
      </c>
      <c r="K12" s="79">
        <f>SUM(K6:K11)</f>
        <v>34220.127503267977</v>
      </c>
      <c r="P12" t="s">
        <v>105</v>
      </c>
    </row>
    <row r="13" spans="1:16" ht="25.5" customHeight="1" x14ac:dyDescent="0.3">
      <c r="M13" s="138">
        <f>J12/12</f>
        <v>2851.6772919389982</v>
      </c>
    </row>
    <row r="14" spans="1:16" s="55" customFormat="1" ht="93.75" customHeight="1" x14ac:dyDescent="0.3">
      <c r="A14" s="113"/>
      <c r="B14" s="185" t="s">
        <v>69</v>
      </c>
      <c r="C14" s="185"/>
      <c r="D14" s="115" t="s">
        <v>68</v>
      </c>
      <c r="E14" s="186" t="s">
        <v>75</v>
      </c>
      <c r="F14" s="187"/>
      <c r="G14" s="115" t="s">
        <v>78</v>
      </c>
      <c r="H14" s="119" t="s">
        <v>76</v>
      </c>
      <c r="I14" s="115" t="s">
        <v>128</v>
      </c>
      <c r="J14" s="122" t="s">
        <v>126</v>
      </c>
    </row>
    <row r="15" spans="1:16" s="55" customFormat="1" ht="81.75" customHeight="1" x14ac:dyDescent="0.3">
      <c r="A15" s="113" t="s">
        <v>63</v>
      </c>
      <c r="B15" s="188" t="s">
        <v>87</v>
      </c>
      <c r="C15" s="188"/>
      <c r="D15" s="188"/>
      <c r="E15" s="113">
        <v>1.2E-2</v>
      </c>
      <c r="F15" s="144">
        <f>SUM('budget 2024'!D51)</f>
        <v>463.92</v>
      </c>
      <c r="G15" s="144">
        <f>SUM(H12*E15/12)</f>
        <v>171.10063751633984</v>
      </c>
      <c r="H15" s="145">
        <f>SUM(F15+G15)</f>
        <v>635.02063751633989</v>
      </c>
      <c r="I15" s="144">
        <f>SUM(G15*0.2)</f>
        <v>34.220127503267967</v>
      </c>
      <c r="J15" s="146">
        <f>F15+I15</f>
        <v>498.14012750326799</v>
      </c>
      <c r="K15" s="137"/>
      <c r="M15" s="137">
        <f>I15*24*12</f>
        <v>9855.3967209411749</v>
      </c>
    </row>
    <row r="16" spans="1:16" s="55" customFormat="1" ht="60" customHeight="1" x14ac:dyDescent="0.3">
      <c r="A16" s="113" t="s">
        <v>64</v>
      </c>
      <c r="B16" s="188" t="s">
        <v>71</v>
      </c>
      <c r="C16" s="188"/>
      <c r="D16" s="188"/>
      <c r="E16" s="113">
        <v>8.0000000000000002E-3</v>
      </c>
      <c r="F16" s="144">
        <f>'budget 2024'!D52</f>
        <v>309.28000000000003</v>
      </c>
      <c r="G16" s="144">
        <f>SUM(H12*E16/12)</f>
        <v>114.06709167755992</v>
      </c>
      <c r="H16" s="145">
        <f>SUM(F16+G16)</f>
        <v>423.34709167755994</v>
      </c>
      <c r="I16" s="144">
        <f>SUM(G16*0.2)</f>
        <v>22.813418335511983</v>
      </c>
      <c r="J16" s="146">
        <f>F16+I16</f>
        <v>332.09341833551201</v>
      </c>
      <c r="K16" s="137"/>
      <c r="M16" s="137">
        <f>I16*24*12</f>
        <v>6570.2644806274511</v>
      </c>
    </row>
    <row r="17" spans="1:14" s="55" customFormat="1" ht="54.75" customHeight="1" x14ac:dyDescent="0.35">
      <c r="A17" s="113" t="s">
        <v>65</v>
      </c>
      <c r="B17" s="188" t="s">
        <v>72</v>
      </c>
      <c r="C17" s="188"/>
      <c r="D17" s="188"/>
      <c r="E17" s="113">
        <v>1.2999999999999999E-2</v>
      </c>
      <c r="F17" s="144">
        <f>'budget 2024'!D53</f>
        <v>502.58</v>
      </c>
      <c r="G17" s="144">
        <f>SUM(H12*E17/12)</f>
        <v>185.35902397603482</v>
      </c>
      <c r="H17" s="145">
        <f>SUM(F17+G17)</f>
        <v>687.93902397603483</v>
      </c>
      <c r="I17" s="144">
        <f>SUM(G17*0.2)</f>
        <v>37.071804795206965</v>
      </c>
      <c r="J17" s="146">
        <f>F17+I17</f>
        <v>539.651804795207</v>
      </c>
      <c r="K17" s="137"/>
      <c r="L17" s="58"/>
      <c r="M17" s="137">
        <f>I17*24*12</f>
        <v>10676.679781019608</v>
      </c>
    </row>
    <row r="18" spans="1:14" s="55" customFormat="1" ht="42" customHeight="1" x14ac:dyDescent="0.3">
      <c r="A18" s="113" t="s">
        <v>66</v>
      </c>
      <c r="B18" s="188" t="s">
        <v>73</v>
      </c>
      <c r="C18" s="188"/>
      <c r="D18" s="188"/>
      <c r="E18" s="113">
        <v>1.0999999999999999E-2</v>
      </c>
      <c r="F18" s="144">
        <f>'budget 2024'!D54</f>
        <v>425.26</v>
      </c>
      <c r="G18" s="144">
        <f>SUM(H12*E18/12)</f>
        <v>156.84225105664487</v>
      </c>
      <c r="H18" s="145">
        <f>SUM(F18+G18)</f>
        <v>582.10225105664483</v>
      </c>
      <c r="I18" s="144">
        <f>SUM(G18*0.2)</f>
        <v>31.368450211328977</v>
      </c>
      <c r="J18" s="146">
        <f>F18+I18</f>
        <v>456.62845021132898</v>
      </c>
      <c r="K18" s="137"/>
      <c r="M18" s="137">
        <f>I18*14*12</f>
        <v>5269.8996355032677</v>
      </c>
    </row>
    <row r="19" spans="1:14" s="55" customFormat="1" ht="33.75" customHeight="1" x14ac:dyDescent="0.3">
      <c r="A19" s="113" t="s">
        <v>67</v>
      </c>
      <c r="B19" s="188" t="s">
        <v>74</v>
      </c>
      <c r="C19" s="188"/>
      <c r="D19" s="188"/>
      <c r="E19" s="113">
        <v>8.9999999999999993E-3</v>
      </c>
      <c r="F19" s="144">
        <f>'budget 2024'!D55</f>
        <v>347.94</v>
      </c>
      <c r="G19" s="144">
        <f>SUM(H12*E19/12)</f>
        <v>128.32547813725489</v>
      </c>
      <c r="H19" s="145">
        <f>SUM(F19+G19)</f>
        <v>476.26547813725489</v>
      </c>
      <c r="I19" s="144">
        <f>SUM(G19*0.2)</f>
        <v>25.665095627450981</v>
      </c>
      <c r="J19" s="146">
        <f>F19+I19</f>
        <v>373.60509562745096</v>
      </c>
      <c r="K19" s="137"/>
      <c r="M19" s="137">
        <f>I19*6*12</f>
        <v>1847.8868851764705</v>
      </c>
    </row>
    <row r="20" spans="1:14" ht="15" thickBot="1" x14ac:dyDescent="0.35">
      <c r="M20" s="138">
        <f>SUM(M15+M16+M17+M18+M19)</f>
        <v>34220.12750326797</v>
      </c>
      <c r="N20" s="138">
        <f>M20/12</f>
        <v>2851.6772919389973</v>
      </c>
    </row>
    <row r="21" spans="1:14" ht="35.25" customHeight="1" x14ac:dyDescent="0.3">
      <c r="A21" s="179" t="s">
        <v>177</v>
      </c>
      <c r="B21" s="180"/>
      <c r="C21" s="180"/>
      <c r="D21" s="180"/>
      <c r="E21" s="180"/>
      <c r="F21" s="180"/>
      <c r="G21" s="180"/>
      <c r="H21" s="180"/>
      <c r="I21" s="180"/>
      <c r="J21" s="181"/>
    </row>
    <row r="22" spans="1:14" ht="56.1" customHeight="1" thickBot="1" x14ac:dyDescent="0.35">
      <c r="A22" s="182"/>
      <c r="B22" s="183"/>
      <c r="C22" s="183"/>
      <c r="D22" s="183"/>
      <c r="E22" s="183"/>
      <c r="F22" s="183"/>
      <c r="G22" s="183"/>
      <c r="H22" s="183"/>
      <c r="I22" s="183"/>
      <c r="J22" s="184"/>
    </row>
  </sheetData>
  <mergeCells count="19">
    <mergeCell ref="H7:I7"/>
    <mergeCell ref="A1:I1"/>
    <mergeCell ref="H3:I3"/>
    <mergeCell ref="H4:I4"/>
    <mergeCell ref="H5:I5"/>
    <mergeCell ref="H6:I6"/>
    <mergeCell ref="A21:J22"/>
    <mergeCell ref="H8:I8"/>
    <mergeCell ref="H9:I9"/>
    <mergeCell ref="H10:I10"/>
    <mergeCell ref="H11:I11"/>
    <mergeCell ref="H12:I12"/>
    <mergeCell ref="B14:C14"/>
    <mergeCell ref="E14:F14"/>
    <mergeCell ref="B15:D15"/>
    <mergeCell ref="B16:D16"/>
    <mergeCell ref="B17:D17"/>
    <mergeCell ref="B18:D18"/>
    <mergeCell ref="B19:D19"/>
  </mergeCells>
  <pageMargins left="0.25" right="0.25" top="0.75" bottom="0.75" header="0.3" footer="0.3"/>
  <pageSetup scale="6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opLeftCell="A40" zoomScaleNormal="100" workbookViewId="0">
      <selection activeCell="G44" sqref="G44"/>
    </sheetView>
  </sheetViews>
  <sheetFormatPr defaultColWidth="8.77734375" defaultRowHeight="15.6" x14ac:dyDescent="0.3"/>
  <cols>
    <col min="1" max="1" width="14.77734375" customWidth="1"/>
    <col min="2" max="2" width="31.77734375" customWidth="1"/>
    <col min="3" max="3" width="18.5546875" style="37" bestFit="1" customWidth="1"/>
    <col min="4" max="4" width="19.21875" style="31" bestFit="1" customWidth="1"/>
    <col min="5" max="5" width="18.5546875" style="33" bestFit="1" customWidth="1"/>
    <col min="6" max="6" width="9.77734375" bestFit="1" customWidth="1"/>
    <col min="7" max="7" width="13.44140625" customWidth="1"/>
    <col min="8" max="8" width="10.21875" customWidth="1"/>
    <col min="9" max="9" width="11.77734375" bestFit="1" customWidth="1"/>
    <col min="10" max="10" width="11.21875" bestFit="1" customWidth="1"/>
  </cols>
  <sheetData>
    <row r="1" spans="1:5" ht="15.75" customHeight="1" x14ac:dyDescent="0.3">
      <c r="B1" s="151" t="s">
        <v>82</v>
      </c>
      <c r="C1" s="151"/>
      <c r="D1" s="151"/>
      <c r="E1" s="151"/>
    </row>
    <row r="2" spans="1:5" ht="33.75" customHeight="1" x14ac:dyDescent="0.3">
      <c r="A2" s="3" t="s">
        <v>62</v>
      </c>
      <c r="B2" s="2"/>
      <c r="C2" s="64" t="s">
        <v>60</v>
      </c>
      <c r="D2" s="65" t="s">
        <v>61</v>
      </c>
      <c r="E2" s="64" t="s">
        <v>84</v>
      </c>
    </row>
    <row r="3" spans="1:5" x14ac:dyDescent="0.3">
      <c r="A3" s="1"/>
      <c r="B3" s="1" t="s">
        <v>16</v>
      </c>
      <c r="C3" s="38">
        <v>318816</v>
      </c>
      <c r="D3" s="38">
        <v>320000</v>
      </c>
      <c r="E3" s="77">
        <f>SUM(I47-E4)</f>
        <v>248433.60000000003</v>
      </c>
    </row>
    <row r="4" spans="1:5" x14ac:dyDescent="0.3">
      <c r="A4" s="1"/>
      <c r="B4" s="1" t="s">
        <v>10</v>
      </c>
      <c r="C4" s="38"/>
      <c r="D4" s="38"/>
      <c r="E4" s="77">
        <f>SUM(J41)</f>
        <v>56237.759999999995</v>
      </c>
    </row>
    <row r="5" spans="1:5" x14ac:dyDescent="0.3">
      <c r="A5" s="1"/>
      <c r="B5" s="1" t="s">
        <v>17</v>
      </c>
      <c r="C5" s="38"/>
      <c r="D5" s="38"/>
      <c r="E5" s="38">
        <v>700</v>
      </c>
    </row>
    <row r="6" spans="1:5" x14ac:dyDescent="0.3">
      <c r="A6" s="1"/>
      <c r="B6" s="1" t="s">
        <v>0</v>
      </c>
      <c r="C6" s="38"/>
      <c r="D6" s="38"/>
      <c r="E6" s="38">
        <v>500</v>
      </c>
    </row>
    <row r="7" spans="1:5" x14ac:dyDescent="0.3">
      <c r="A7" s="1"/>
      <c r="B7" s="1" t="s">
        <v>8</v>
      </c>
      <c r="C7" s="38"/>
      <c r="D7" s="38"/>
      <c r="E7" s="38">
        <v>3200</v>
      </c>
    </row>
    <row r="8" spans="1:5" ht="16.2" thickBot="1" x14ac:dyDescent="0.35">
      <c r="A8" s="1"/>
      <c r="B8" s="36" t="s">
        <v>18</v>
      </c>
      <c r="C8" s="42"/>
      <c r="D8" s="42"/>
      <c r="E8" s="42">
        <v>300</v>
      </c>
    </row>
    <row r="9" spans="1:5" x14ac:dyDescent="0.3">
      <c r="A9" s="4" t="s">
        <v>1</v>
      </c>
      <c r="B9" s="4"/>
      <c r="C9" s="39"/>
      <c r="D9" s="39"/>
      <c r="E9" s="67">
        <f>SUM(E3:E8)</f>
        <v>309371.36000000004</v>
      </c>
    </row>
    <row r="10" spans="1:5" x14ac:dyDescent="0.3">
      <c r="A10" s="4" t="s">
        <v>2</v>
      </c>
      <c r="B10" s="4"/>
      <c r="C10" s="39"/>
      <c r="D10" s="40"/>
      <c r="E10" s="39"/>
    </row>
    <row r="11" spans="1:5" x14ac:dyDescent="0.3">
      <c r="A11" s="4" t="s">
        <v>81</v>
      </c>
      <c r="B11" s="1"/>
      <c r="C11" s="39"/>
      <c r="D11" s="40"/>
      <c r="E11" s="39"/>
    </row>
    <row r="12" spans="1:5" x14ac:dyDescent="0.3">
      <c r="A12" s="34"/>
      <c r="B12" s="1" t="s">
        <v>9</v>
      </c>
      <c r="C12" s="38">
        <v>1500</v>
      </c>
      <c r="D12" s="41">
        <v>1300</v>
      </c>
      <c r="E12" s="38">
        <v>1500</v>
      </c>
    </row>
    <row r="13" spans="1:5" x14ac:dyDescent="0.3">
      <c r="A13" s="34"/>
      <c r="B13" s="1" t="s">
        <v>25</v>
      </c>
      <c r="C13" s="38"/>
      <c r="D13" s="41">
        <v>1000</v>
      </c>
      <c r="E13" s="38">
        <v>1578</v>
      </c>
    </row>
    <row r="14" spans="1:5" x14ac:dyDescent="0.3">
      <c r="A14" s="34"/>
      <c r="B14" s="1" t="s">
        <v>6</v>
      </c>
      <c r="C14" s="38">
        <v>2000</v>
      </c>
      <c r="D14" s="41">
        <v>10000</v>
      </c>
      <c r="E14" s="38">
        <v>2000</v>
      </c>
    </row>
    <row r="15" spans="1:5" x14ac:dyDescent="0.3">
      <c r="A15" s="34"/>
      <c r="B15" s="1" t="s">
        <v>27</v>
      </c>
      <c r="C15" s="38">
        <v>3000</v>
      </c>
      <c r="D15" s="41">
        <v>5000</v>
      </c>
      <c r="E15" s="38">
        <v>4000</v>
      </c>
    </row>
    <row r="16" spans="1:5" x14ac:dyDescent="0.3">
      <c r="A16" s="34"/>
      <c r="B16" s="1" t="s">
        <v>30</v>
      </c>
      <c r="C16" s="38"/>
      <c r="D16" s="41">
        <v>2600</v>
      </c>
      <c r="E16" s="68">
        <v>24000</v>
      </c>
    </row>
    <row r="17" spans="1:7" x14ac:dyDescent="0.3">
      <c r="A17" s="34"/>
      <c r="B17" s="1" t="s">
        <v>26</v>
      </c>
      <c r="C17" s="38"/>
      <c r="D17" s="41">
        <v>75</v>
      </c>
      <c r="E17" s="38">
        <v>100</v>
      </c>
      <c r="G17">
        <f>55000/92/12</f>
        <v>49.818840579710148</v>
      </c>
    </row>
    <row r="18" spans="1:7" x14ac:dyDescent="0.3">
      <c r="A18" s="34"/>
      <c r="B18" s="1" t="s">
        <v>28</v>
      </c>
      <c r="C18" s="38">
        <v>1100</v>
      </c>
      <c r="D18" s="38">
        <v>100</v>
      </c>
      <c r="E18" s="38">
        <v>1100</v>
      </c>
    </row>
    <row r="19" spans="1:7" x14ac:dyDescent="0.3">
      <c r="A19" s="1"/>
      <c r="B19" s="1" t="s">
        <v>11</v>
      </c>
      <c r="C19" s="38">
        <v>87000</v>
      </c>
      <c r="D19" s="38">
        <v>70000</v>
      </c>
      <c r="E19" s="66">
        <v>70000</v>
      </c>
    </row>
    <row r="20" spans="1:7" x14ac:dyDescent="0.3">
      <c r="A20" s="4" t="s">
        <v>22</v>
      </c>
      <c r="C20" s="38"/>
      <c r="D20" s="38"/>
      <c r="E20" s="38"/>
    </row>
    <row r="21" spans="1:7" x14ac:dyDescent="0.3">
      <c r="A21" s="35"/>
      <c r="B21" s="1" t="s">
        <v>3</v>
      </c>
      <c r="C21" s="38">
        <v>11000</v>
      </c>
      <c r="D21" s="41">
        <v>8500</v>
      </c>
      <c r="E21" s="38">
        <v>11000</v>
      </c>
    </row>
    <row r="22" spans="1:7" x14ac:dyDescent="0.3">
      <c r="A22" s="35"/>
      <c r="B22" s="1" t="s">
        <v>4</v>
      </c>
      <c r="C22" s="38">
        <v>47000</v>
      </c>
      <c r="D22" s="41">
        <v>45000</v>
      </c>
      <c r="E22" s="68">
        <v>45000</v>
      </c>
    </row>
    <row r="23" spans="1:7" x14ac:dyDescent="0.3">
      <c r="A23" s="4" t="s">
        <v>21</v>
      </c>
      <c r="B23" s="1"/>
      <c r="C23" s="38"/>
      <c r="D23" s="41"/>
      <c r="E23" s="38"/>
    </row>
    <row r="24" spans="1:7" x14ac:dyDescent="0.3">
      <c r="A24" s="34"/>
      <c r="B24" s="1" t="s">
        <v>24</v>
      </c>
      <c r="C24" s="38">
        <v>4800</v>
      </c>
      <c r="D24" s="41">
        <v>4800</v>
      </c>
      <c r="E24" s="38">
        <v>4900</v>
      </c>
    </row>
    <row r="25" spans="1:7" x14ac:dyDescent="0.3">
      <c r="A25" s="34"/>
      <c r="B25" s="1" t="s">
        <v>19</v>
      </c>
      <c r="C25" s="38">
        <v>7000</v>
      </c>
      <c r="D25" s="41">
        <v>3600</v>
      </c>
      <c r="E25" s="38">
        <v>3700</v>
      </c>
    </row>
    <row r="26" spans="1:7" x14ac:dyDescent="0.3">
      <c r="A26" s="34"/>
      <c r="B26" s="1" t="s">
        <v>7</v>
      </c>
      <c r="C26" s="38">
        <v>15120</v>
      </c>
      <c r="D26" s="41">
        <f>1300*12</f>
        <v>15600</v>
      </c>
      <c r="E26" s="38">
        <v>15600</v>
      </c>
    </row>
    <row r="27" spans="1:7" x14ac:dyDescent="0.3">
      <c r="A27" s="34"/>
      <c r="B27" s="1" t="s">
        <v>5</v>
      </c>
      <c r="C27" s="38">
        <v>12000</v>
      </c>
      <c r="D27" s="41">
        <v>13000</v>
      </c>
      <c r="E27" s="68">
        <v>14000</v>
      </c>
    </row>
    <row r="28" spans="1:7" x14ac:dyDescent="0.3">
      <c r="A28" s="34"/>
      <c r="B28" s="1" t="s">
        <v>14</v>
      </c>
      <c r="C28" s="38">
        <v>15400</v>
      </c>
      <c r="D28" s="41">
        <v>15500</v>
      </c>
      <c r="E28" s="38">
        <v>15400</v>
      </c>
    </row>
    <row r="29" spans="1:7" x14ac:dyDescent="0.3">
      <c r="A29" s="3" t="s">
        <v>20</v>
      </c>
      <c r="B29" s="3"/>
      <c r="C29" s="38"/>
      <c r="D29" s="41"/>
      <c r="E29" s="38"/>
    </row>
    <row r="30" spans="1:7" x14ac:dyDescent="0.3">
      <c r="A30" s="34"/>
      <c r="B30" s="1" t="s">
        <v>13</v>
      </c>
      <c r="C30" s="38">
        <v>17578</v>
      </c>
      <c r="D30" s="41">
        <v>25000</v>
      </c>
      <c r="E30" s="66">
        <v>5000</v>
      </c>
    </row>
    <row r="31" spans="1:7" x14ac:dyDescent="0.3">
      <c r="A31" s="34"/>
      <c r="B31" s="1" t="s">
        <v>35</v>
      </c>
      <c r="C31" s="38">
        <v>4000</v>
      </c>
      <c r="D31" s="41">
        <v>1500</v>
      </c>
      <c r="E31" s="38">
        <v>1500</v>
      </c>
    </row>
    <row r="32" spans="1:7" x14ac:dyDescent="0.3">
      <c r="A32" s="34"/>
      <c r="B32" s="1" t="s">
        <v>23</v>
      </c>
      <c r="C32" s="38">
        <v>2500</v>
      </c>
      <c r="D32" s="41">
        <v>1500</v>
      </c>
      <c r="E32" s="38">
        <v>2500</v>
      </c>
    </row>
    <row r="33" spans="1:11" x14ac:dyDescent="0.3">
      <c r="A33" s="34"/>
      <c r="B33" s="1" t="s">
        <v>12</v>
      </c>
      <c r="C33" s="38">
        <v>2500</v>
      </c>
      <c r="D33" s="41">
        <v>850</v>
      </c>
      <c r="E33" s="38">
        <v>3000</v>
      </c>
    </row>
    <row r="34" spans="1:11" x14ac:dyDescent="0.3">
      <c r="A34" s="34"/>
      <c r="B34" s="1" t="s">
        <v>34</v>
      </c>
      <c r="C34" s="38"/>
      <c r="D34" s="41">
        <v>600</v>
      </c>
      <c r="E34" s="38">
        <v>2000</v>
      </c>
    </row>
    <row r="35" spans="1:11" x14ac:dyDescent="0.3">
      <c r="A35" s="34"/>
      <c r="B35" s="1" t="s">
        <v>33</v>
      </c>
      <c r="C35" s="38">
        <v>3100</v>
      </c>
      <c r="D35" s="41">
        <v>3500</v>
      </c>
      <c r="E35" s="38">
        <v>3500</v>
      </c>
    </row>
    <row r="36" spans="1:11" x14ac:dyDescent="0.3">
      <c r="A36" s="34"/>
      <c r="B36" s="1" t="s">
        <v>31</v>
      </c>
      <c r="C36" s="38">
        <v>3000</v>
      </c>
      <c r="D36" s="41">
        <v>1500</v>
      </c>
      <c r="E36" s="68">
        <v>1000</v>
      </c>
      <c r="G36">
        <f>4686.81/92</f>
        <v>50.943586956521742</v>
      </c>
    </row>
    <row r="37" spans="1:11" ht="16.2" thickBot="1" x14ac:dyDescent="0.35">
      <c r="A37" s="34"/>
      <c r="B37" s="36" t="s">
        <v>32</v>
      </c>
      <c r="C37" s="42">
        <v>6000</v>
      </c>
      <c r="D37" s="43">
        <v>4800</v>
      </c>
      <c r="E37" s="42">
        <v>0</v>
      </c>
      <c r="G37">
        <v>50</v>
      </c>
    </row>
    <row r="38" spans="1:11" x14ac:dyDescent="0.3">
      <c r="A38" s="4" t="s">
        <v>15</v>
      </c>
      <c r="B38" s="4"/>
      <c r="C38" s="60">
        <f>SUM(C12:C37)</f>
        <v>245598</v>
      </c>
      <c r="D38" s="44">
        <f>SUM(D12:D37)</f>
        <v>235325</v>
      </c>
      <c r="E38" s="39">
        <f>SUM(E12:E37)+E39</f>
        <v>288615.76</v>
      </c>
    </row>
    <row r="39" spans="1:11" x14ac:dyDescent="0.3">
      <c r="A39" s="35"/>
      <c r="B39" s="1" t="s">
        <v>10</v>
      </c>
      <c r="C39" s="38">
        <v>56000</v>
      </c>
      <c r="D39" s="41">
        <v>55000</v>
      </c>
      <c r="E39" s="66">
        <f>SUM(E4)</f>
        <v>56237.759999999995</v>
      </c>
    </row>
    <row r="40" spans="1:11" ht="16.2" thickBot="1" x14ac:dyDescent="0.35"/>
    <row r="41" spans="1:11" ht="57" customHeight="1" x14ac:dyDescent="0.3">
      <c r="A41" s="47"/>
      <c r="B41" s="53" t="s">
        <v>69</v>
      </c>
      <c r="C41" s="54" t="s">
        <v>68</v>
      </c>
      <c r="D41" s="59" t="s">
        <v>80</v>
      </c>
      <c r="E41" s="70" t="s">
        <v>85</v>
      </c>
      <c r="F41" s="71" t="s">
        <v>86</v>
      </c>
      <c r="G41" s="72" t="s">
        <v>76</v>
      </c>
      <c r="H41" s="76"/>
      <c r="J41">
        <f>50.94*92*12</f>
        <v>56237.759999999995</v>
      </c>
    </row>
    <row r="42" spans="1:11" ht="52.8" x14ac:dyDescent="0.3">
      <c r="A42" s="48" t="s">
        <v>63</v>
      </c>
      <c r="B42" s="45" t="s">
        <v>87</v>
      </c>
      <c r="C42" s="46">
        <v>1.2E-2</v>
      </c>
      <c r="D42" s="62">
        <v>245.2</v>
      </c>
      <c r="E42" s="73">
        <v>53.87</v>
      </c>
      <c r="F42" s="74">
        <f>E42+D42</f>
        <v>299.07</v>
      </c>
      <c r="G42" s="75">
        <v>313.54000000000002</v>
      </c>
      <c r="H42" s="78">
        <f>G42-F42</f>
        <v>14.470000000000027</v>
      </c>
      <c r="I42" s="61">
        <f>F42*24*12</f>
        <v>86132.160000000003</v>
      </c>
      <c r="J42" s="79">
        <f>SUM(G42*24*12)</f>
        <v>90299.520000000019</v>
      </c>
    </row>
    <row r="43" spans="1:11" ht="75.75" customHeight="1" x14ac:dyDescent="0.3">
      <c r="A43" s="49" t="s">
        <v>64</v>
      </c>
      <c r="B43" s="45" t="s">
        <v>71</v>
      </c>
      <c r="C43" s="46">
        <v>8.0000000000000002E-3</v>
      </c>
      <c r="D43" s="62">
        <v>163.47</v>
      </c>
      <c r="E43" s="73">
        <v>53.87</v>
      </c>
      <c r="F43" s="74">
        <f>E43+D43</f>
        <v>217.34</v>
      </c>
      <c r="G43" s="75">
        <v>225.94</v>
      </c>
      <c r="H43" s="78">
        <f>G43-F43</f>
        <v>8.5999999999999943</v>
      </c>
      <c r="I43" s="61">
        <f>F43*24*12</f>
        <v>62593.919999999998</v>
      </c>
      <c r="J43" s="79">
        <f>G43*24*12</f>
        <v>65070.719999999994</v>
      </c>
      <c r="K43">
        <f>4956.24/92</f>
        <v>53.872173913043476</v>
      </c>
    </row>
    <row r="44" spans="1:11" ht="52.8" x14ac:dyDescent="0.3">
      <c r="A44" s="49" t="s">
        <v>65</v>
      </c>
      <c r="B44" s="45" t="s">
        <v>72</v>
      </c>
      <c r="C44" s="46">
        <v>1.2999999999999999E-2</v>
      </c>
      <c r="D44" s="62">
        <v>265.63</v>
      </c>
      <c r="E44" s="73">
        <v>53.87</v>
      </c>
      <c r="F44" s="74">
        <f>E44+D44</f>
        <v>319.5</v>
      </c>
      <c r="G44" s="75">
        <v>335.44</v>
      </c>
      <c r="H44" s="78">
        <f>G44-F44</f>
        <v>15.939999999999998</v>
      </c>
      <c r="I44" s="61">
        <f>F44*24*12</f>
        <v>92016</v>
      </c>
      <c r="J44" s="79">
        <f>G44*24*12</f>
        <v>96606.720000000001</v>
      </c>
    </row>
    <row r="45" spans="1:11" ht="26.4" x14ac:dyDescent="0.3">
      <c r="A45" s="49" t="s">
        <v>66</v>
      </c>
      <c r="B45" s="45" t="s">
        <v>73</v>
      </c>
      <c r="C45" s="46">
        <v>1.0999999999999999E-2</v>
      </c>
      <c r="D45" s="62">
        <v>224.76</v>
      </c>
      <c r="E45" s="73">
        <v>53.87</v>
      </c>
      <c r="F45" s="74">
        <f>E45+D45</f>
        <v>278.63</v>
      </c>
      <c r="G45" s="75">
        <v>291.64</v>
      </c>
      <c r="H45" s="78">
        <f>G45-F45</f>
        <v>13.009999999999991</v>
      </c>
      <c r="I45" s="61">
        <f>F45*14*12</f>
        <v>46809.84</v>
      </c>
      <c r="J45" s="79">
        <f>G45*14*12</f>
        <v>48995.520000000004</v>
      </c>
    </row>
    <row r="46" spans="1:11" ht="15" thickBot="1" x14ac:dyDescent="0.35">
      <c r="A46" s="50" t="s">
        <v>67</v>
      </c>
      <c r="B46" s="51" t="s">
        <v>74</v>
      </c>
      <c r="C46" s="52">
        <v>8.9999999999999993E-3</v>
      </c>
      <c r="D46" s="63">
        <v>183.9</v>
      </c>
      <c r="E46" s="73">
        <v>53.87</v>
      </c>
      <c r="F46" s="74">
        <f>E46+D46</f>
        <v>237.77</v>
      </c>
      <c r="G46" s="75">
        <v>247.84</v>
      </c>
      <c r="H46" s="78">
        <f>G46-F46</f>
        <v>10.069999999999993</v>
      </c>
      <c r="I46" s="61">
        <f>F46*6*12</f>
        <v>17119.440000000002</v>
      </c>
      <c r="J46" s="79">
        <f>G46*12*6</f>
        <v>17844.48</v>
      </c>
    </row>
    <row r="47" spans="1:11" x14ac:dyDescent="0.3">
      <c r="A47" s="4"/>
      <c r="B47" s="5"/>
      <c r="C47" s="6"/>
      <c r="I47" s="61">
        <f>SUM(I42:I46)</f>
        <v>304671.36000000004</v>
      </c>
      <c r="J47" s="79">
        <f>J42+J43+J44+J45+J46</f>
        <v>318816.96000000002</v>
      </c>
    </row>
    <row r="48" spans="1:11" x14ac:dyDescent="0.3">
      <c r="C48" s="32"/>
      <c r="J48" s="79">
        <f>J47-I47</f>
        <v>14145.599999999977</v>
      </c>
    </row>
    <row r="49" spans="1:3" x14ac:dyDescent="0.3">
      <c r="A49" s="1"/>
      <c r="C49" s="32"/>
    </row>
    <row r="50" spans="1:3" x14ac:dyDescent="0.3">
      <c r="C50" s="32"/>
    </row>
    <row r="51" spans="1:3" x14ac:dyDescent="0.3">
      <c r="A51" s="1"/>
      <c r="C51" s="32"/>
    </row>
    <row r="52" spans="1:3" x14ac:dyDescent="0.3">
      <c r="A52" s="1"/>
      <c r="C52" s="32"/>
    </row>
    <row r="53" spans="1:3" x14ac:dyDescent="0.3">
      <c r="A53" s="1"/>
    </row>
  </sheetData>
  <mergeCells count="1">
    <mergeCell ref="B1:E1"/>
  </mergeCells>
  <pageMargins left="0" right="0" top="0" bottom="0" header="0.3" footer="0.3"/>
  <pageSetup scale="87" orientation="portrait" r:id="rId1"/>
  <colBreaks count="1" manualBreakCount="1">
    <brk id="5" min="1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view="pageBreakPreview" topLeftCell="A6" zoomScale="60" zoomScaleNormal="100" workbookViewId="0">
      <selection activeCell="H29" sqref="H29"/>
    </sheetView>
  </sheetViews>
  <sheetFormatPr defaultColWidth="9" defaultRowHeight="14.4" x14ac:dyDescent="0.3"/>
  <cols>
    <col min="1" max="1" width="17" bestFit="1" customWidth="1"/>
    <col min="2" max="2" width="11" bestFit="1" customWidth="1"/>
    <col min="3" max="3" width="16.44140625" bestFit="1" customWidth="1"/>
    <col min="4" max="4" width="15.44140625" bestFit="1" customWidth="1"/>
    <col min="5" max="5" width="12.44140625" bestFit="1" customWidth="1"/>
    <col min="6" max="6" width="14.21875" customWidth="1"/>
    <col min="7" max="7" width="16.77734375" bestFit="1" customWidth="1"/>
    <col min="8" max="8" width="13.44140625" customWidth="1"/>
    <col min="9" max="9" width="18.21875" bestFit="1" customWidth="1"/>
    <col min="10" max="10" width="24.21875" bestFit="1" customWidth="1"/>
    <col min="12" max="12" width="11.21875" bestFit="1" customWidth="1"/>
    <col min="13" max="13" width="22.44140625" customWidth="1"/>
    <col min="15" max="15" width="12.44140625" bestFit="1" customWidth="1"/>
  </cols>
  <sheetData>
    <row r="1" spans="1:15" ht="22.8" x14ac:dyDescent="0.4">
      <c r="A1" s="162" t="s">
        <v>83</v>
      </c>
      <c r="B1" s="162"/>
      <c r="C1" s="162"/>
      <c r="D1" s="162"/>
      <c r="E1" s="162"/>
      <c r="F1" s="162"/>
      <c r="G1" s="162"/>
      <c r="H1" s="162"/>
      <c r="I1" s="162"/>
    </row>
    <row r="2" spans="1:15" ht="25.5" customHeight="1" thickBot="1" x14ac:dyDescent="0.35"/>
    <row r="3" spans="1:15" ht="15.6" x14ac:dyDescent="0.3">
      <c r="A3" s="7" t="s">
        <v>36</v>
      </c>
      <c r="B3" s="8" t="s">
        <v>37</v>
      </c>
      <c r="C3" s="8" t="s">
        <v>37</v>
      </c>
      <c r="D3" s="8" t="s">
        <v>38</v>
      </c>
      <c r="E3" s="9" t="s">
        <v>39</v>
      </c>
      <c r="F3" s="8" t="s">
        <v>40</v>
      </c>
      <c r="G3" s="8" t="s">
        <v>41</v>
      </c>
      <c r="H3" s="163" t="s">
        <v>42</v>
      </c>
      <c r="I3" s="164"/>
      <c r="J3" s="10" t="s">
        <v>42</v>
      </c>
      <c r="M3" s="11"/>
      <c r="N3" s="12"/>
    </row>
    <row r="4" spans="1:15" ht="15.6" x14ac:dyDescent="0.3">
      <c r="A4" s="13"/>
      <c r="B4" s="14" t="s">
        <v>43</v>
      </c>
      <c r="C4" s="14" t="s">
        <v>44</v>
      </c>
      <c r="D4" s="14" t="s">
        <v>45</v>
      </c>
      <c r="E4" s="15" t="s">
        <v>46</v>
      </c>
      <c r="F4" s="14" t="s">
        <v>47</v>
      </c>
      <c r="G4" s="14" t="s">
        <v>42</v>
      </c>
      <c r="H4" s="165" t="s">
        <v>29</v>
      </c>
      <c r="I4" s="166"/>
      <c r="J4" s="16" t="s">
        <v>48</v>
      </c>
      <c r="M4" s="11"/>
      <c r="N4" s="12"/>
    </row>
    <row r="5" spans="1:15" ht="15.6" x14ac:dyDescent="0.3">
      <c r="A5" s="13"/>
      <c r="B5" s="14"/>
      <c r="C5" s="14"/>
      <c r="D5" s="14"/>
      <c r="E5" s="15" t="s">
        <v>49</v>
      </c>
      <c r="F5" s="17">
        <v>43465</v>
      </c>
      <c r="G5" s="14" t="s">
        <v>50</v>
      </c>
      <c r="H5" s="165" t="s">
        <v>51</v>
      </c>
      <c r="I5" s="166"/>
      <c r="J5" s="16" t="s">
        <v>52</v>
      </c>
      <c r="M5" s="11"/>
      <c r="N5" s="12"/>
    </row>
    <row r="6" spans="1:15" ht="15.6" x14ac:dyDescent="0.3">
      <c r="A6" s="18" t="s">
        <v>53</v>
      </c>
      <c r="B6" s="19">
        <v>20</v>
      </c>
      <c r="C6" s="20">
        <v>650000</v>
      </c>
      <c r="D6" s="19">
        <v>20</v>
      </c>
      <c r="E6" s="21">
        <v>0.35</v>
      </c>
      <c r="F6" s="22">
        <f>SUM(F11*E6)</f>
        <v>35620.091499999995</v>
      </c>
      <c r="G6" s="22">
        <f>SUM((C6-F6))</f>
        <v>614379.90850000002</v>
      </c>
      <c r="H6" s="167">
        <f>SUM(G6/D6)</f>
        <v>30718.995425000001</v>
      </c>
      <c r="I6" s="168"/>
      <c r="J6" s="23">
        <f>C6/D6*0.4</f>
        <v>13000</v>
      </c>
      <c r="M6" s="11"/>
      <c r="N6" s="12"/>
    </row>
    <row r="7" spans="1:15" ht="15.6" x14ac:dyDescent="0.3">
      <c r="A7" s="18" t="s">
        <v>58</v>
      </c>
      <c r="B7" s="19">
        <v>8</v>
      </c>
      <c r="C7" s="22">
        <v>50000</v>
      </c>
      <c r="D7" s="19">
        <v>8</v>
      </c>
      <c r="E7" s="21">
        <v>0.1</v>
      </c>
      <c r="F7" s="22">
        <f>SUM(F11*E7)</f>
        <v>10177.169000000002</v>
      </c>
      <c r="G7" s="22">
        <f>SUM(C7-F7)</f>
        <v>39822.830999999998</v>
      </c>
      <c r="H7" s="167">
        <f>SUM(G7/D7)</f>
        <v>4977.8538749999998</v>
      </c>
      <c r="I7" s="168"/>
      <c r="J7" s="23">
        <f>C7/D7*0.4</f>
        <v>2500</v>
      </c>
      <c r="M7" s="11"/>
      <c r="N7" s="12"/>
    </row>
    <row r="8" spans="1:15" ht="27" x14ac:dyDescent="0.3">
      <c r="A8" s="30" t="s">
        <v>59</v>
      </c>
      <c r="B8" s="19">
        <v>30</v>
      </c>
      <c r="C8" s="22">
        <v>150000</v>
      </c>
      <c r="D8" s="19">
        <v>40</v>
      </c>
      <c r="E8" s="21">
        <v>0.25</v>
      </c>
      <c r="F8" s="22">
        <f>SUM(F11*E8)</f>
        <v>25442.922500000001</v>
      </c>
      <c r="G8" s="22">
        <f>SUM(C8-F8)</f>
        <v>124557.0775</v>
      </c>
      <c r="H8" s="167">
        <f>SUM(G8/D8)</f>
        <v>3113.9269374999999</v>
      </c>
      <c r="I8" s="168"/>
      <c r="J8" s="23">
        <f t="shared" ref="J8:J10" si="0">C8/D8*0.4</f>
        <v>1500</v>
      </c>
      <c r="M8" s="11"/>
      <c r="N8" s="12"/>
    </row>
    <row r="9" spans="1:15" ht="15.6" x14ac:dyDescent="0.3">
      <c r="A9" s="18" t="s">
        <v>54</v>
      </c>
      <c r="B9" s="19">
        <v>20</v>
      </c>
      <c r="C9" s="22">
        <v>80000</v>
      </c>
      <c r="D9" s="19">
        <v>30</v>
      </c>
      <c r="E9" s="21">
        <v>0.15</v>
      </c>
      <c r="F9" s="22">
        <f>SUM(F11*E9)</f>
        <v>15265.753499999999</v>
      </c>
      <c r="G9" s="22">
        <f>SUM(C9-F9)</f>
        <v>64734.246500000001</v>
      </c>
      <c r="H9" s="167">
        <f>SUM(G9/D9)</f>
        <v>2157.8082166666668</v>
      </c>
      <c r="I9" s="168"/>
      <c r="J9" s="24">
        <f t="shared" si="0"/>
        <v>1066.6666666666667</v>
      </c>
      <c r="M9" s="11"/>
      <c r="N9" s="12"/>
    </row>
    <row r="10" spans="1:15" x14ac:dyDescent="0.3">
      <c r="A10" s="18" t="s">
        <v>55</v>
      </c>
      <c r="B10" s="19">
        <v>8</v>
      </c>
      <c r="C10" s="22">
        <v>68000</v>
      </c>
      <c r="D10" s="19">
        <v>8</v>
      </c>
      <c r="E10" s="21">
        <v>0.15</v>
      </c>
      <c r="F10" s="22">
        <f>SUM(F11*E10)</f>
        <v>15265.753499999999</v>
      </c>
      <c r="G10" s="22">
        <f>SUM(C10-F10)</f>
        <v>52734.246500000001</v>
      </c>
      <c r="H10" s="167">
        <f>SUM(G10/D10)</f>
        <v>6591.7808125000001</v>
      </c>
      <c r="I10" s="168"/>
      <c r="J10" s="24">
        <f t="shared" si="0"/>
        <v>3400</v>
      </c>
    </row>
    <row r="11" spans="1:15" ht="25.5" customHeight="1" thickBot="1" x14ac:dyDescent="0.35">
      <c r="A11" s="25" t="s">
        <v>56</v>
      </c>
      <c r="B11" s="26"/>
      <c r="C11" s="27">
        <f>SUM(C6:C10)</f>
        <v>998000</v>
      </c>
      <c r="D11" s="26"/>
      <c r="E11" s="28">
        <f>SUM(E6:E10)</f>
        <v>1</v>
      </c>
      <c r="F11" s="27">
        <v>101771.69</v>
      </c>
      <c r="G11" s="27">
        <f>SUM(G6:G10)</f>
        <v>896228.31</v>
      </c>
      <c r="H11" s="169">
        <f>SUM(H6:I10)</f>
        <v>47560.365266666668</v>
      </c>
      <c r="I11" s="170"/>
      <c r="J11" s="29">
        <f>SUM(J6:J10)</f>
        <v>21466.666666666668</v>
      </c>
    </row>
    <row r="12" spans="1:15" ht="25.5" customHeight="1" x14ac:dyDescent="0.3">
      <c r="H12" s="79">
        <f>H11/12</f>
        <v>3963.3637722222225</v>
      </c>
    </row>
    <row r="13" spans="1:15" s="55" customFormat="1" ht="93.75" customHeight="1" x14ac:dyDescent="0.3">
      <c r="A13" s="56"/>
      <c r="B13" s="158" t="s">
        <v>69</v>
      </c>
      <c r="C13" s="158"/>
      <c r="D13" s="69" t="s">
        <v>68</v>
      </c>
      <c r="E13" s="159" t="s">
        <v>75</v>
      </c>
      <c r="F13" s="160"/>
      <c r="G13" s="69" t="s">
        <v>78</v>
      </c>
      <c r="H13" s="91" t="s">
        <v>76</v>
      </c>
      <c r="I13" s="69" t="s">
        <v>77</v>
      </c>
      <c r="J13" s="69" t="s">
        <v>79</v>
      </c>
    </row>
    <row r="14" spans="1:15" s="55" customFormat="1" ht="81.75" customHeight="1" x14ac:dyDescent="0.3">
      <c r="A14" s="56" t="s">
        <v>63</v>
      </c>
      <c r="B14" s="161" t="s">
        <v>70</v>
      </c>
      <c r="C14" s="161"/>
      <c r="D14" s="161"/>
      <c r="E14" s="56">
        <v>1.2E-2</v>
      </c>
      <c r="F14" s="57">
        <f>SUM('budget 2019'!D42)</f>
        <v>245.2</v>
      </c>
      <c r="G14" s="57">
        <f>SUM(H11*E14/12)</f>
        <v>47.560365266666672</v>
      </c>
      <c r="H14" s="92">
        <f>SUM(F14+G14+'budget 2019'!E42)</f>
        <v>346.63036526666667</v>
      </c>
      <c r="I14" s="57">
        <f>SUM(J11*E14/12)</f>
        <v>21.466666666666669</v>
      </c>
      <c r="J14" s="57">
        <f>SUM(F14+I14)</f>
        <v>266.66666666666663</v>
      </c>
    </row>
    <row r="15" spans="1:15" s="55" customFormat="1" ht="60" customHeight="1" x14ac:dyDescent="0.3">
      <c r="A15" s="56" t="s">
        <v>64</v>
      </c>
      <c r="B15" s="161" t="s">
        <v>71</v>
      </c>
      <c r="C15" s="161"/>
      <c r="D15" s="161"/>
      <c r="E15" s="56">
        <v>8.0000000000000002E-3</v>
      </c>
      <c r="F15" s="57">
        <f>SUM('budget 2019'!D43)</f>
        <v>163.47</v>
      </c>
      <c r="G15" s="57">
        <f>SUM(H11*E15/12)</f>
        <v>31.706910177777782</v>
      </c>
      <c r="H15" s="92">
        <f>SUM(G15+F15+'budget 2019'!E43)</f>
        <v>249.04691017777779</v>
      </c>
      <c r="I15" s="57">
        <f>SUM(J11*E15/12)</f>
        <v>14.311111111111112</v>
      </c>
      <c r="J15" s="57">
        <f>SUM(I15+F15)</f>
        <v>177.7811111111111</v>
      </c>
    </row>
    <row r="16" spans="1:15" s="55" customFormat="1" ht="54.75" customHeight="1" x14ac:dyDescent="0.35">
      <c r="A16" s="56" t="s">
        <v>65</v>
      </c>
      <c r="B16" s="161" t="s">
        <v>72</v>
      </c>
      <c r="C16" s="161"/>
      <c r="D16" s="161"/>
      <c r="E16" s="56">
        <v>1.2999999999999999E-2</v>
      </c>
      <c r="F16" s="57">
        <f>SUM('budget 2019'!D44)</f>
        <v>265.63</v>
      </c>
      <c r="G16" s="57">
        <f>SUM(H11*E16/12)</f>
        <v>51.523729038888888</v>
      </c>
      <c r="H16" s="92">
        <f>SUM(G16+F16+'budget 2019'!E44)</f>
        <v>371.02372903888886</v>
      </c>
      <c r="I16" s="57">
        <f>SUM(J11*E16/12)</f>
        <v>23.255555555555556</v>
      </c>
      <c r="J16" s="57">
        <f>SUM(I16+F16)</f>
        <v>288.88555555555553</v>
      </c>
      <c r="O16" s="58"/>
    </row>
    <row r="17" spans="1:10" s="55" customFormat="1" ht="42" customHeight="1" x14ac:dyDescent="0.3">
      <c r="A17" s="56" t="s">
        <v>66</v>
      </c>
      <c r="B17" s="161" t="s">
        <v>73</v>
      </c>
      <c r="C17" s="161"/>
      <c r="D17" s="161"/>
      <c r="E17" s="56">
        <v>1.0999999999999999E-2</v>
      </c>
      <c r="F17" s="57">
        <f>SUM('budget 2019'!D45)</f>
        <v>224.76</v>
      </c>
      <c r="G17" s="57">
        <f>SUM(H11*E17/12)</f>
        <v>43.597001494444442</v>
      </c>
      <c r="H17" s="92">
        <f>SUM(G17+F17+'budget 2019'!E45)</f>
        <v>322.22700149444444</v>
      </c>
      <c r="I17" s="57">
        <f>SUM(J11*E17/12)</f>
        <v>19.677777777777777</v>
      </c>
      <c r="J17" s="57">
        <f>SUM(I17+F17)</f>
        <v>244.43777777777777</v>
      </c>
    </row>
    <row r="18" spans="1:10" s="55" customFormat="1" ht="33.75" customHeight="1" x14ac:dyDescent="0.3">
      <c r="A18" s="56" t="s">
        <v>67</v>
      </c>
      <c r="B18" s="161" t="s">
        <v>74</v>
      </c>
      <c r="C18" s="161"/>
      <c r="D18" s="161"/>
      <c r="E18" s="56">
        <v>8.9999999999999993E-3</v>
      </c>
      <c r="F18" s="57">
        <f>SUM('budget 2019'!D46)</f>
        <v>183.9</v>
      </c>
      <c r="G18" s="57">
        <f>SUM(H11*E18/12)</f>
        <v>35.670273950000002</v>
      </c>
      <c r="H18" s="92">
        <f>SUM(G18+F18+'budget 2019'!E46)</f>
        <v>273.44027395000001</v>
      </c>
      <c r="I18" s="57">
        <f>SUM(J11*E18/12)</f>
        <v>16.099999999999998</v>
      </c>
      <c r="J18" s="57">
        <f>SUM(I18+F18)</f>
        <v>200</v>
      </c>
    </row>
    <row r="19" spans="1:10" ht="15" thickBot="1" x14ac:dyDescent="0.35"/>
    <row r="20" spans="1:10" ht="35.25" customHeight="1" x14ac:dyDescent="0.3">
      <c r="A20" s="152" t="s">
        <v>57</v>
      </c>
      <c r="B20" s="153"/>
      <c r="C20" s="153"/>
      <c r="D20" s="153"/>
      <c r="E20" s="153"/>
      <c r="F20" s="153"/>
      <c r="G20" s="153"/>
      <c r="H20" s="153"/>
      <c r="I20" s="153"/>
      <c r="J20" s="154"/>
    </row>
    <row r="21" spans="1:10" ht="35.25" customHeight="1" thickBot="1" x14ac:dyDescent="0.35">
      <c r="A21" s="155"/>
      <c r="B21" s="156"/>
      <c r="C21" s="156"/>
      <c r="D21" s="156"/>
      <c r="E21" s="156"/>
      <c r="F21" s="156"/>
      <c r="G21" s="156"/>
      <c r="H21" s="156"/>
      <c r="I21" s="156"/>
      <c r="J21" s="157"/>
    </row>
  </sheetData>
  <mergeCells count="18">
    <mergeCell ref="H10:I10"/>
    <mergeCell ref="H11:I11"/>
    <mergeCell ref="A20:J21"/>
    <mergeCell ref="B13:C13"/>
    <mergeCell ref="E13:F13"/>
    <mergeCell ref="B18:D18"/>
    <mergeCell ref="A1:I1"/>
    <mergeCell ref="B14:D14"/>
    <mergeCell ref="B15:D15"/>
    <mergeCell ref="B16:D16"/>
    <mergeCell ref="B17:D17"/>
    <mergeCell ref="H3:I3"/>
    <mergeCell ref="H4:I4"/>
    <mergeCell ref="H5:I5"/>
    <mergeCell ref="H6:I6"/>
    <mergeCell ref="H7:I7"/>
    <mergeCell ref="H8:I8"/>
    <mergeCell ref="H9:I9"/>
  </mergeCells>
  <pageMargins left="0.25" right="0.25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8257-B9DF-4EAA-BF92-B6A673304A54}">
  <dimension ref="A1:K9"/>
  <sheetViews>
    <sheetView zoomScaleNormal="100" workbookViewId="0">
      <selection activeCell="F4" sqref="F4"/>
    </sheetView>
  </sheetViews>
  <sheetFormatPr defaultColWidth="8.77734375" defaultRowHeight="14.4" x14ac:dyDescent="0.3"/>
  <cols>
    <col min="1" max="1" width="13.44140625" bestFit="1" customWidth="1"/>
    <col min="2" max="2" width="29.5546875" bestFit="1" customWidth="1"/>
    <col min="3" max="3" width="13.44140625" bestFit="1" customWidth="1"/>
    <col min="4" max="4" width="18" style="79" customWidth="1"/>
    <col min="5" max="5" width="18.44140625" style="79" bestFit="1" customWidth="1"/>
    <col min="6" max="6" width="14.44140625" bestFit="1" customWidth="1"/>
    <col min="7" max="7" width="16.77734375" customWidth="1"/>
  </cols>
  <sheetData>
    <row r="1" spans="1:11" ht="21" x14ac:dyDescent="0.4">
      <c r="A1" s="171" t="s">
        <v>102</v>
      </c>
      <c r="B1" s="171"/>
      <c r="C1" s="171"/>
      <c r="D1" s="171"/>
      <c r="E1" s="171"/>
      <c r="F1" s="171"/>
      <c r="G1" s="171"/>
    </row>
    <row r="2" spans="1:11" ht="46.35" customHeight="1" x14ac:dyDescent="0.3">
      <c r="A2" s="174" t="s">
        <v>69</v>
      </c>
      <c r="B2" s="175"/>
      <c r="C2" s="172" t="s">
        <v>68</v>
      </c>
      <c r="D2" s="98">
        <v>1206000</v>
      </c>
      <c r="E2" s="98" t="s">
        <v>97</v>
      </c>
      <c r="F2" s="69" t="s">
        <v>106</v>
      </c>
      <c r="G2" s="158" t="s">
        <v>110</v>
      </c>
    </row>
    <row r="3" spans="1:11" ht="77.55" customHeight="1" x14ac:dyDescent="0.3">
      <c r="A3" s="176"/>
      <c r="B3" s="177"/>
      <c r="C3" s="173"/>
      <c r="D3" s="98" t="s">
        <v>103</v>
      </c>
      <c r="E3" s="98" t="s">
        <v>100</v>
      </c>
      <c r="F3" s="69" t="s">
        <v>101</v>
      </c>
      <c r="G3" s="158"/>
    </row>
    <row r="4" spans="1:11" ht="52.8" x14ac:dyDescent="0.3">
      <c r="A4" s="80" t="s">
        <v>63</v>
      </c>
      <c r="B4" s="45" t="s">
        <v>87</v>
      </c>
      <c r="C4" s="96">
        <v>1.2E-2</v>
      </c>
      <c r="D4" s="99">
        <f>D2*C4/108</f>
        <v>134</v>
      </c>
      <c r="E4" s="99">
        <f>D4*108*24</f>
        <v>347328</v>
      </c>
      <c r="F4" s="99">
        <f>D4*108</f>
        <v>14472</v>
      </c>
      <c r="G4" s="99">
        <f>1000000*C4</f>
        <v>12000</v>
      </c>
      <c r="K4">
        <f>1000000*0.0475*9</f>
        <v>427500</v>
      </c>
    </row>
    <row r="5" spans="1:11" ht="52.8" x14ac:dyDescent="0.3">
      <c r="A5" s="45" t="s">
        <v>64</v>
      </c>
      <c r="B5" s="45" t="s">
        <v>71</v>
      </c>
      <c r="C5" s="96">
        <v>8.0000000000000002E-3</v>
      </c>
      <c r="D5" s="99">
        <f>D2*C5/108</f>
        <v>89.333333333333329</v>
      </c>
      <c r="E5" s="99">
        <f>D5*108*24</f>
        <v>231552</v>
      </c>
      <c r="F5" s="99">
        <f>D5*108</f>
        <v>9648</v>
      </c>
      <c r="G5" s="99">
        <f>1000000*C5</f>
        <v>8000</v>
      </c>
    </row>
    <row r="6" spans="1:11" ht="52.8" x14ac:dyDescent="0.3">
      <c r="A6" s="45" t="s">
        <v>65</v>
      </c>
      <c r="B6" s="45" t="s">
        <v>72</v>
      </c>
      <c r="C6" s="96">
        <v>1.2999999999999999E-2</v>
      </c>
      <c r="D6" s="99">
        <f>D2*C6/108</f>
        <v>145.16666666666666</v>
      </c>
      <c r="E6" s="99">
        <f>D6*24*108</f>
        <v>376272</v>
      </c>
      <c r="F6" s="99">
        <f>D6*108</f>
        <v>15677.999999999998</v>
      </c>
      <c r="G6" s="99">
        <f>1000000*C6</f>
        <v>13000</v>
      </c>
    </row>
    <row r="7" spans="1:11" ht="39.6" x14ac:dyDescent="0.3">
      <c r="A7" s="45" t="s">
        <v>66</v>
      </c>
      <c r="B7" s="45" t="s">
        <v>73</v>
      </c>
      <c r="C7" s="96">
        <v>1.0999999999999999E-2</v>
      </c>
      <c r="D7" s="99">
        <f>D2*C7/108</f>
        <v>122.83333333333333</v>
      </c>
      <c r="E7" s="99">
        <f>D7*108*14</f>
        <v>185724</v>
      </c>
      <c r="F7" s="99">
        <f>D7*108</f>
        <v>13266</v>
      </c>
      <c r="G7" s="99">
        <f>1000000*C7</f>
        <v>11000</v>
      </c>
    </row>
    <row r="8" spans="1:11" x14ac:dyDescent="0.3">
      <c r="A8" s="45" t="s">
        <v>67</v>
      </c>
      <c r="B8" s="45" t="s">
        <v>74</v>
      </c>
      <c r="C8" s="97">
        <v>8.9999999999999993E-3</v>
      </c>
      <c r="D8" s="99">
        <f>D2*C8/108</f>
        <v>100.5</v>
      </c>
      <c r="E8" s="99">
        <f>D8*6*108</f>
        <v>65124</v>
      </c>
      <c r="F8" s="99">
        <f>D8*108</f>
        <v>10854</v>
      </c>
      <c r="G8" s="99">
        <f>1000000*C8</f>
        <v>9000</v>
      </c>
    </row>
    <row r="9" spans="1:11" x14ac:dyDescent="0.3">
      <c r="D9" s="99"/>
      <c r="E9" s="99">
        <f>+E4+E5+E6+E7+E8</f>
        <v>1206000</v>
      </c>
      <c r="F9" s="100"/>
      <c r="I9">
        <f>4400/46</f>
        <v>95.652173913043484</v>
      </c>
    </row>
  </sheetData>
  <mergeCells count="4">
    <mergeCell ref="G2:G3"/>
    <mergeCell ref="A1:G1"/>
    <mergeCell ref="C2:C3"/>
    <mergeCell ref="A2:B3"/>
  </mergeCells>
  <pageMargins left="0.7" right="0.7" top="0.75" bottom="0.75" header="0.3" footer="0.3"/>
  <pageSetup scale="98" orientation="landscape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C7BE-8993-2945-94F2-9912C9FD5C34}">
  <dimension ref="A1:K53"/>
  <sheetViews>
    <sheetView view="pageBreakPreview" topLeftCell="B4" zoomScale="60" zoomScaleNormal="86" workbookViewId="0">
      <selection activeCell="H41" sqref="H41:H46"/>
    </sheetView>
  </sheetViews>
  <sheetFormatPr defaultColWidth="8.77734375" defaultRowHeight="15.6" x14ac:dyDescent="0.3"/>
  <cols>
    <col min="1" max="1" width="14.77734375" customWidth="1"/>
    <col min="2" max="2" width="31.77734375" customWidth="1"/>
    <col min="3" max="3" width="18.5546875" style="37" bestFit="1" customWidth="1"/>
    <col min="4" max="4" width="19.21875" style="31" bestFit="1" customWidth="1"/>
    <col min="5" max="5" width="18.5546875" style="33" bestFit="1" customWidth="1"/>
    <col min="6" max="6" width="11.21875" bestFit="1" customWidth="1"/>
    <col min="7" max="7" width="13.44140625" customWidth="1"/>
    <col min="8" max="8" width="12.44140625" customWidth="1"/>
    <col min="9" max="9" width="11.77734375" bestFit="1" customWidth="1"/>
    <col min="10" max="10" width="11.21875" bestFit="1" customWidth="1"/>
    <col min="11" max="11" width="12.44140625" bestFit="1" customWidth="1"/>
  </cols>
  <sheetData>
    <row r="1" spans="1:6" ht="15.75" customHeight="1" x14ac:dyDescent="0.3">
      <c r="B1" s="151" t="s">
        <v>90</v>
      </c>
      <c r="C1" s="151"/>
      <c r="D1" s="151"/>
      <c r="E1" s="151"/>
    </row>
    <row r="2" spans="1:6" ht="33.75" customHeight="1" x14ac:dyDescent="0.3">
      <c r="A2" s="3" t="s">
        <v>62</v>
      </c>
      <c r="B2" s="2"/>
      <c r="C2" s="64" t="s">
        <v>84</v>
      </c>
      <c r="D2" s="65" t="s">
        <v>91</v>
      </c>
      <c r="E2" s="64" t="s">
        <v>108</v>
      </c>
    </row>
    <row r="3" spans="1:6" x14ac:dyDescent="0.3">
      <c r="A3" s="1"/>
      <c r="B3" s="1" t="s">
        <v>16</v>
      </c>
      <c r="C3" s="86">
        <v>248434</v>
      </c>
      <c r="D3" s="82">
        <v>240000</v>
      </c>
      <c r="E3" s="86">
        <f>SUM(K48)</f>
        <v>245237.27999999997</v>
      </c>
    </row>
    <row r="4" spans="1:6" x14ac:dyDescent="0.3">
      <c r="A4" s="1"/>
      <c r="B4" s="1" t="s">
        <v>10</v>
      </c>
      <c r="C4" s="86">
        <v>56238</v>
      </c>
      <c r="D4" s="82">
        <v>59480</v>
      </c>
      <c r="E4" s="86">
        <f>E38</f>
        <v>63000</v>
      </c>
    </row>
    <row r="5" spans="1:6" x14ac:dyDescent="0.3">
      <c r="A5" s="1"/>
      <c r="B5" s="1" t="s">
        <v>17</v>
      </c>
      <c r="C5" s="82">
        <v>700</v>
      </c>
      <c r="D5" s="82">
        <v>1675</v>
      </c>
      <c r="E5" s="82">
        <v>1200</v>
      </c>
    </row>
    <row r="6" spans="1:6" x14ac:dyDescent="0.3">
      <c r="A6" s="1"/>
      <c r="B6" s="1" t="s">
        <v>47</v>
      </c>
      <c r="C6" s="38">
        <v>14145</v>
      </c>
      <c r="D6" s="38">
        <f>1468.71*12</f>
        <v>17624.52</v>
      </c>
      <c r="E6" s="95">
        <f>SUM('reserves 2020'!J11)</f>
        <v>11150</v>
      </c>
      <c r="F6" t="s">
        <v>95</v>
      </c>
    </row>
    <row r="7" spans="1:6" ht="16.2" thickBot="1" x14ac:dyDescent="0.35">
      <c r="A7" s="1"/>
      <c r="B7" s="1" t="s">
        <v>8</v>
      </c>
      <c r="C7" s="42">
        <v>3200</v>
      </c>
      <c r="D7" s="42">
        <v>400</v>
      </c>
      <c r="E7" s="42">
        <v>500</v>
      </c>
    </row>
    <row r="8" spans="1:6" x14ac:dyDescent="0.3">
      <c r="A8" s="4" t="s">
        <v>1</v>
      </c>
      <c r="B8" s="4"/>
      <c r="C8" s="67">
        <f>SUM(C3:C7)</f>
        <v>322717</v>
      </c>
      <c r="D8" s="66">
        <f>SUM(D3:D7)</f>
        <v>319179.52000000002</v>
      </c>
      <c r="E8" s="67">
        <f>SUM(E3:E7)</f>
        <v>321087.27999999997</v>
      </c>
    </row>
    <row r="9" spans="1:6" x14ac:dyDescent="0.3">
      <c r="A9" s="4" t="s">
        <v>2</v>
      </c>
      <c r="B9" s="4"/>
      <c r="C9" s="39"/>
      <c r="D9" s="40"/>
      <c r="E9" s="39"/>
    </row>
    <row r="10" spans="1:6" x14ac:dyDescent="0.3">
      <c r="A10" s="4" t="s">
        <v>81</v>
      </c>
      <c r="B10" s="1"/>
      <c r="C10" s="39"/>
      <c r="D10" s="40"/>
      <c r="E10" s="39"/>
    </row>
    <row r="11" spans="1:6" x14ac:dyDescent="0.3">
      <c r="A11" s="34"/>
      <c r="B11" s="1" t="s">
        <v>9</v>
      </c>
      <c r="C11" s="38">
        <v>1500</v>
      </c>
      <c r="D11" s="41">
        <v>1300</v>
      </c>
      <c r="E11" s="38">
        <v>1500</v>
      </c>
    </row>
    <row r="12" spans="1:6" x14ac:dyDescent="0.3">
      <c r="A12" s="34"/>
      <c r="B12" s="1" t="s">
        <v>25</v>
      </c>
      <c r="C12" s="38">
        <v>1578</v>
      </c>
      <c r="D12" s="41">
        <v>370</v>
      </c>
      <c r="E12" s="38">
        <v>400</v>
      </c>
    </row>
    <row r="13" spans="1:6" x14ac:dyDescent="0.3">
      <c r="A13" s="34"/>
      <c r="B13" s="1" t="s">
        <v>6</v>
      </c>
      <c r="C13" s="82">
        <v>2000</v>
      </c>
      <c r="D13" s="83">
        <v>10000</v>
      </c>
      <c r="E13" s="82">
        <v>10000</v>
      </c>
    </row>
    <row r="14" spans="1:6" x14ac:dyDescent="0.3">
      <c r="A14" s="34"/>
      <c r="B14" s="1" t="s">
        <v>27</v>
      </c>
      <c r="C14" s="82">
        <v>4000</v>
      </c>
      <c r="D14" s="83">
        <v>15000</v>
      </c>
      <c r="E14" s="82">
        <v>5000</v>
      </c>
    </row>
    <row r="15" spans="1:6" x14ac:dyDescent="0.3">
      <c r="A15" s="34"/>
      <c r="B15" s="1" t="s">
        <v>30</v>
      </c>
      <c r="C15" s="82">
        <v>24000</v>
      </c>
      <c r="D15" s="83">
        <v>48200</v>
      </c>
      <c r="E15" s="82">
        <v>16000</v>
      </c>
    </row>
    <row r="16" spans="1:6" x14ac:dyDescent="0.3">
      <c r="A16" s="34"/>
      <c r="B16" s="1" t="s">
        <v>26</v>
      </c>
      <c r="C16" s="38">
        <v>100</v>
      </c>
      <c r="D16" s="41">
        <v>100</v>
      </c>
      <c r="E16" s="38">
        <v>100</v>
      </c>
    </row>
    <row r="17" spans="1:5" x14ac:dyDescent="0.3">
      <c r="A17" s="34"/>
      <c r="B17" s="1" t="s">
        <v>28</v>
      </c>
      <c r="C17" s="38">
        <v>1100</v>
      </c>
      <c r="D17" s="38">
        <v>440</v>
      </c>
      <c r="E17" s="38">
        <v>500</v>
      </c>
    </row>
    <row r="18" spans="1:5" x14ac:dyDescent="0.3">
      <c r="A18" s="1"/>
      <c r="B18" s="1" t="s">
        <v>11</v>
      </c>
      <c r="C18" s="82">
        <v>70000</v>
      </c>
      <c r="D18" s="82">
        <f>SUM(D11:D17)</f>
        <v>75410</v>
      </c>
      <c r="E18" s="82">
        <v>78137</v>
      </c>
    </row>
    <row r="19" spans="1:5" x14ac:dyDescent="0.3">
      <c r="A19" s="4" t="s">
        <v>22</v>
      </c>
      <c r="C19" s="38"/>
      <c r="D19" s="38"/>
      <c r="E19" s="38"/>
    </row>
    <row r="20" spans="1:5" x14ac:dyDescent="0.3">
      <c r="A20" s="35"/>
      <c r="B20" s="1" t="s">
        <v>3</v>
      </c>
      <c r="C20" s="82">
        <v>11000</v>
      </c>
      <c r="D20" s="83">
        <v>9500</v>
      </c>
      <c r="E20" s="82">
        <v>9700</v>
      </c>
    </row>
    <row r="21" spans="1:5" x14ac:dyDescent="0.3">
      <c r="A21" s="35"/>
      <c r="B21" s="1" t="s">
        <v>4</v>
      </c>
      <c r="C21" s="82">
        <v>45000</v>
      </c>
      <c r="D21" s="83">
        <v>56000</v>
      </c>
      <c r="E21" s="82">
        <v>58000</v>
      </c>
    </row>
    <row r="22" spans="1:5" x14ac:dyDescent="0.3">
      <c r="A22" s="4" t="s">
        <v>21</v>
      </c>
      <c r="B22" s="1"/>
      <c r="C22" s="82"/>
      <c r="D22" s="83"/>
      <c r="E22" s="82"/>
    </row>
    <row r="23" spans="1:5" x14ac:dyDescent="0.3">
      <c r="A23" s="34"/>
      <c r="B23" s="1" t="s">
        <v>24</v>
      </c>
      <c r="C23" s="82">
        <v>4900</v>
      </c>
      <c r="D23" s="83">
        <v>4800</v>
      </c>
      <c r="E23" s="82">
        <v>4800</v>
      </c>
    </row>
    <row r="24" spans="1:5" x14ac:dyDescent="0.3">
      <c r="A24" s="34"/>
      <c r="B24" s="1" t="s">
        <v>19</v>
      </c>
      <c r="C24" s="82">
        <v>3700</v>
      </c>
      <c r="D24" s="83">
        <v>2800</v>
      </c>
      <c r="E24" s="82">
        <v>2800</v>
      </c>
    </row>
    <row r="25" spans="1:5" x14ac:dyDescent="0.3">
      <c r="A25" s="34"/>
      <c r="B25" s="1" t="s">
        <v>7</v>
      </c>
      <c r="C25" s="82">
        <v>15600</v>
      </c>
      <c r="D25" s="83">
        <f>1200*12</f>
        <v>14400</v>
      </c>
      <c r="E25" s="82">
        <v>14400</v>
      </c>
    </row>
    <row r="26" spans="1:5" x14ac:dyDescent="0.3">
      <c r="A26" s="34"/>
      <c r="B26" s="1" t="s">
        <v>5</v>
      </c>
      <c r="C26" s="82">
        <v>14000</v>
      </c>
      <c r="D26" s="83">
        <f>950*12</f>
        <v>11400</v>
      </c>
      <c r="E26" s="82">
        <v>11400</v>
      </c>
    </row>
    <row r="27" spans="1:5" x14ac:dyDescent="0.3">
      <c r="A27" s="34"/>
      <c r="B27" s="1" t="s">
        <v>14</v>
      </c>
      <c r="C27" s="82">
        <v>15400</v>
      </c>
      <c r="D27" s="83">
        <f>288*52</f>
        <v>14976</v>
      </c>
      <c r="E27" s="82">
        <v>15400</v>
      </c>
    </row>
    <row r="28" spans="1:5" x14ac:dyDescent="0.3">
      <c r="A28" s="3" t="s">
        <v>20</v>
      </c>
      <c r="B28" s="3"/>
      <c r="C28" s="82"/>
      <c r="D28" s="83"/>
      <c r="E28" s="82"/>
    </row>
    <row r="29" spans="1:5" x14ac:dyDescent="0.3">
      <c r="A29" s="34"/>
      <c r="B29" s="1" t="s">
        <v>13</v>
      </c>
      <c r="C29" s="82">
        <v>5000</v>
      </c>
      <c r="D29" s="83">
        <v>18000</v>
      </c>
      <c r="E29" s="82">
        <v>5000</v>
      </c>
    </row>
    <row r="30" spans="1:5" x14ac:dyDescent="0.3">
      <c r="A30" s="34"/>
      <c r="B30" s="1" t="s">
        <v>35</v>
      </c>
      <c r="C30" s="82">
        <v>1500</v>
      </c>
      <c r="D30" s="83">
        <v>300</v>
      </c>
      <c r="E30" s="82">
        <v>400</v>
      </c>
    </row>
    <row r="31" spans="1:5" x14ac:dyDescent="0.3">
      <c r="A31" s="34"/>
      <c r="B31" s="1" t="s">
        <v>23</v>
      </c>
      <c r="C31" s="82">
        <v>2500</v>
      </c>
      <c r="D31" s="83">
        <v>1600</v>
      </c>
      <c r="E31" s="82">
        <v>1600</v>
      </c>
    </row>
    <row r="32" spans="1:5" x14ac:dyDescent="0.3">
      <c r="A32" s="34"/>
      <c r="B32" s="1" t="s">
        <v>12</v>
      </c>
      <c r="C32" s="82">
        <v>3000</v>
      </c>
      <c r="D32" s="83">
        <v>0</v>
      </c>
      <c r="E32" s="82">
        <v>2500</v>
      </c>
    </row>
    <row r="33" spans="1:11" x14ac:dyDescent="0.3">
      <c r="A33" s="34"/>
      <c r="B33" s="1" t="s">
        <v>34</v>
      </c>
      <c r="C33" s="82">
        <v>2000</v>
      </c>
      <c r="D33" s="83">
        <v>0</v>
      </c>
      <c r="E33" s="82">
        <v>1000</v>
      </c>
    </row>
    <row r="34" spans="1:11" x14ac:dyDescent="0.3">
      <c r="A34" s="34"/>
      <c r="B34" s="1" t="s">
        <v>33</v>
      </c>
      <c r="C34" s="82">
        <v>3500</v>
      </c>
      <c r="D34" s="83">
        <v>7800</v>
      </c>
      <c r="E34" s="82">
        <v>7800</v>
      </c>
    </row>
    <row r="35" spans="1:11" ht="16.2" thickBot="1" x14ac:dyDescent="0.35">
      <c r="A35" s="34"/>
      <c r="B35" s="1" t="s">
        <v>31</v>
      </c>
      <c r="C35" s="84">
        <v>1000</v>
      </c>
      <c r="D35" s="85">
        <v>400</v>
      </c>
      <c r="E35" s="84">
        <v>500</v>
      </c>
    </row>
    <row r="36" spans="1:11" x14ac:dyDescent="0.3">
      <c r="A36" s="4" t="s">
        <v>15</v>
      </c>
      <c r="B36" s="4"/>
      <c r="C36" s="66">
        <f>SUM(C35+C34+C33+C32+C31+C30+C29+C27+C26+C25+C24+C23+C21+C20+C18)</f>
        <v>198100</v>
      </c>
      <c r="D36" s="81">
        <f>SUM(D35+D34+D33+D32+D31+D30+D29+D27+D26+D25+D24+D23+D21+D20+D18)</f>
        <v>217386</v>
      </c>
      <c r="E36" s="66">
        <f>E35+E34+E33+E32+E31+E30+E29+E27+E26+E25+E23+E24+E21+E20+E18+E17+E16+E15+E14+E13+E12+E11</f>
        <v>246937</v>
      </c>
    </row>
    <row r="37" spans="1:11" x14ac:dyDescent="0.3">
      <c r="A37" s="4"/>
      <c r="B37" s="1" t="s">
        <v>47</v>
      </c>
      <c r="C37" s="66">
        <f>D6</f>
        <v>17624.52</v>
      </c>
      <c r="D37" s="81">
        <f>C37</f>
        <v>17624.52</v>
      </c>
      <c r="E37" s="67">
        <f>SUM('reserves 2020'!J11)</f>
        <v>11150</v>
      </c>
    </row>
    <row r="38" spans="1:11" ht="16.2" thickBot="1" x14ac:dyDescent="0.35">
      <c r="A38" s="35"/>
      <c r="B38" s="1" t="s">
        <v>10</v>
      </c>
      <c r="C38" s="87">
        <f>SUM(C4)</f>
        <v>56238</v>
      </c>
      <c r="D38" s="88">
        <f>5182.67*12</f>
        <v>62192.04</v>
      </c>
      <c r="E38" s="94">
        <v>63000</v>
      </c>
      <c r="F38" s="79"/>
    </row>
    <row r="39" spans="1:11" x14ac:dyDescent="0.3">
      <c r="A39" s="178" t="s">
        <v>93</v>
      </c>
      <c r="B39" s="178"/>
      <c r="C39" s="66">
        <f>SUM(C36:C38)</f>
        <v>271962.52</v>
      </c>
      <c r="D39" s="81">
        <f>SUM(D36:D38)</f>
        <v>297202.56</v>
      </c>
      <c r="E39" s="67">
        <f>SUM(E36:E38)</f>
        <v>321087</v>
      </c>
      <c r="F39" s="79"/>
    </row>
    <row r="40" spans="1:11" ht="16.2" thickBot="1" x14ac:dyDescent="0.35"/>
    <row r="41" spans="1:11" ht="57" customHeight="1" x14ac:dyDescent="0.3">
      <c r="A41" s="47"/>
      <c r="B41" s="53" t="s">
        <v>69</v>
      </c>
      <c r="C41" s="54" t="s">
        <v>68</v>
      </c>
      <c r="D41" s="59" t="s">
        <v>92</v>
      </c>
      <c r="E41" s="70" t="s">
        <v>85</v>
      </c>
      <c r="F41" s="71" t="s">
        <v>86</v>
      </c>
      <c r="G41" s="89" t="s">
        <v>94</v>
      </c>
      <c r="H41" s="69" t="s">
        <v>96</v>
      </c>
    </row>
    <row r="42" spans="1:11" ht="52.8" x14ac:dyDescent="0.3">
      <c r="A42" s="48" t="s">
        <v>63</v>
      </c>
      <c r="B42" s="45" t="s">
        <v>87</v>
      </c>
      <c r="C42" s="46">
        <v>1.2E-2</v>
      </c>
      <c r="D42" s="62">
        <v>245.2</v>
      </c>
      <c r="E42" s="73">
        <v>57.1</v>
      </c>
      <c r="F42" s="74">
        <f>SUM(E42+D42)</f>
        <v>302.3</v>
      </c>
      <c r="G42" s="90">
        <f>SUM(E6*C42/12)</f>
        <v>11.15</v>
      </c>
      <c r="H42" s="101">
        <f>SUM(G42+F42)</f>
        <v>313.45</v>
      </c>
      <c r="I42" s="61"/>
      <c r="J42" s="79"/>
      <c r="K42" s="78">
        <f>F42*24*12</f>
        <v>87062.400000000009</v>
      </c>
    </row>
    <row r="43" spans="1:11" ht="75.75" customHeight="1" x14ac:dyDescent="0.3">
      <c r="A43" s="49" t="s">
        <v>64</v>
      </c>
      <c r="B43" s="45" t="s">
        <v>71</v>
      </c>
      <c r="C43" s="46">
        <v>8.0000000000000002E-3</v>
      </c>
      <c r="D43" s="62">
        <v>163.47</v>
      </c>
      <c r="E43" s="73">
        <v>57.1</v>
      </c>
      <c r="F43" s="74">
        <f>SUM(D43+E43)</f>
        <v>220.57</v>
      </c>
      <c r="G43" s="90">
        <f>E6*C43/12</f>
        <v>7.4333333333333336</v>
      </c>
      <c r="H43" s="102">
        <f>SUM(G43+F43)</f>
        <v>228.00333333333333</v>
      </c>
      <c r="I43" s="61"/>
      <c r="J43" s="79"/>
      <c r="K43" s="78">
        <f>F43*12*24</f>
        <v>63524.160000000003</v>
      </c>
    </row>
    <row r="44" spans="1:11" ht="52.8" x14ac:dyDescent="0.3">
      <c r="A44" s="49" t="s">
        <v>65</v>
      </c>
      <c r="B44" s="45" t="s">
        <v>72</v>
      </c>
      <c r="C44" s="46">
        <v>1.2999999999999999E-2</v>
      </c>
      <c r="D44" s="62">
        <v>265.63</v>
      </c>
      <c r="E44" s="73">
        <v>57.1</v>
      </c>
      <c r="F44" s="74">
        <f>E44+D44</f>
        <v>322.73</v>
      </c>
      <c r="G44" s="90">
        <f>E6*C44/12</f>
        <v>12.079166666666666</v>
      </c>
      <c r="H44" s="102">
        <f>SUM(G44+F44)</f>
        <v>334.80916666666667</v>
      </c>
      <c r="I44" s="61"/>
      <c r="J44" s="79"/>
      <c r="K44" s="78">
        <f>F44*12*24</f>
        <v>92946.240000000005</v>
      </c>
    </row>
    <row r="45" spans="1:11" ht="26.4" x14ac:dyDescent="0.3">
      <c r="A45" s="49" t="s">
        <v>66</v>
      </c>
      <c r="B45" s="45" t="s">
        <v>73</v>
      </c>
      <c r="C45" s="46">
        <v>1.0999999999999999E-2</v>
      </c>
      <c r="D45" s="62">
        <v>224.76</v>
      </c>
      <c r="E45" s="73">
        <v>57.1</v>
      </c>
      <c r="F45" s="74">
        <f>E45+D45</f>
        <v>281.86</v>
      </c>
      <c r="G45" s="90">
        <f>SUM(E6*C45/12)</f>
        <v>10.220833333333333</v>
      </c>
      <c r="H45" s="102">
        <f>SUM(G45+F45)</f>
        <v>292.08083333333337</v>
      </c>
      <c r="I45" s="61"/>
      <c r="J45" s="79"/>
      <c r="K45" s="78">
        <f>F45*14*12</f>
        <v>47352.479999999996</v>
      </c>
    </row>
    <row r="46" spans="1:11" ht="15" thickBot="1" x14ac:dyDescent="0.35">
      <c r="A46" s="50" t="s">
        <v>67</v>
      </c>
      <c r="B46" s="51" t="s">
        <v>74</v>
      </c>
      <c r="C46" s="52">
        <v>8.9999999999999993E-3</v>
      </c>
      <c r="D46" s="63">
        <v>183.9</v>
      </c>
      <c r="E46" s="73">
        <v>57.1</v>
      </c>
      <c r="F46" s="74">
        <f>E46+D46</f>
        <v>241</v>
      </c>
      <c r="G46" s="90">
        <f>SUM(E6*C46/12)</f>
        <v>8.3624999999999989</v>
      </c>
      <c r="H46" s="102">
        <f>SUM(G46+F46)</f>
        <v>249.36250000000001</v>
      </c>
      <c r="I46" s="61"/>
      <c r="J46" s="79"/>
      <c r="K46" s="78">
        <f>F46*6*12</f>
        <v>17352</v>
      </c>
    </row>
    <row r="47" spans="1:11" x14ac:dyDescent="0.3">
      <c r="A47" s="4"/>
      <c r="B47" s="5"/>
      <c r="C47" s="6"/>
      <c r="I47" s="61"/>
      <c r="J47" s="79"/>
      <c r="K47" s="79">
        <f>SUM(K42:K46)</f>
        <v>308237.27999999997</v>
      </c>
    </row>
    <row r="48" spans="1:11" x14ac:dyDescent="0.3">
      <c r="C48" s="32"/>
      <c r="J48" s="79"/>
      <c r="K48" s="79">
        <f>K47-E38</f>
        <v>245237.27999999997</v>
      </c>
    </row>
    <row r="49" spans="1:3" x14ac:dyDescent="0.3">
      <c r="A49" s="1"/>
      <c r="C49" s="32"/>
    </row>
    <row r="50" spans="1:3" x14ac:dyDescent="0.3">
      <c r="C50" s="32"/>
    </row>
    <row r="51" spans="1:3" x14ac:dyDescent="0.3">
      <c r="A51" s="1"/>
      <c r="C51" s="32"/>
    </row>
    <row r="52" spans="1:3" x14ac:dyDescent="0.3">
      <c r="A52" s="1"/>
      <c r="C52" s="32"/>
    </row>
    <row r="53" spans="1:3" x14ac:dyDescent="0.3">
      <c r="A53" s="1"/>
    </row>
  </sheetData>
  <mergeCells count="2">
    <mergeCell ref="B1:E1"/>
    <mergeCell ref="A39:B39"/>
  </mergeCells>
  <pageMargins left="0" right="0" top="0" bottom="0" header="0.3" footer="0.3"/>
  <pageSetup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91FA-28F8-0A4A-8976-8511878185C5}">
  <dimension ref="A1:P21"/>
  <sheetViews>
    <sheetView view="pageBreakPreview" topLeftCell="A4" zoomScale="82" zoomScaleNormal="100" zoomScaleSheetLayoutView="82" workbookViewId="0">
      <selection activeCell="J15" sqref="J15"/>
    </sheetView>
  </sheetViews>
  <sheetFormatPr defaultColWidth="9" defaultRowHeight="14.4" x14ac:dyDescent="0.3"/>
  <cols>
    <col min="1" max="1" width="17" bestFit="1" customWidth="1"/>
    <col min="2" max="2" width="11" bestFit="1" customWidth="1"/>
    <col min="3" max="3" width="16.44140625" bestFit="1" customWidth="1"/>
    <col min="4" max="4" width="15.44140625" bestFit="1" customWidth="1"/>
    <col min="5" max="5" width="12.21875" bestFit="1" customWidth="1"/>
    <col min="6" max="6" width="14.5546875" customWidth="1"/>
    <col min="7" max="7" width="16.21875" bestFit="1" customWidth="1"/>
    <col min="8" max="8" width="12.44140625" bestFit="1" customWidth="1"/>
    <col min="9" max="9" width="16.21875" bestFit="1" customWidth="1"/>
    <col min="10" max="10" width="24.21875" bestFit="1" customWidth="1"/>
    <col min="13" max="13" width="22.44140625" customWidth="1"/>
    <col min="15" max="15" width="12.44140625" bestFit="1" customWidth="1"/>
  </cols>
  <sheetData>
    <row r="1" spans="1:16" ht="22.8" x14ac:dyDescent="0.4">
      <c r="A1" s="162" t="s">
        <v>88</v>
      </c>
      <c r="B1" s="162"/>
      <c r="C1" s="162"/>
      <c r="D1" s="162"/>
      <c r="E1" s="162"/>
      <c r="F1" s="162"/>
      <c r="G1" s="162"/>
      <c r="H1" s="162"/>
      <c r="I1" s="162"/>
    </row>
    <row r="2" spans="1:16" ht="25.5" customHeight="1" thickBot="1" x14ac:dyDescent="0.35"/>
    <row r="3" spans="1:16" ht="15.6" x14ac:dyDescent="0.3">
      <c r="A3" s="7" t="s">
        <v>36</v>
      </c>
      <c r="B3" s="8" t="s">
        <v>37</v>
      </c>
      <c r="C3" s="8" t="s">
        <v>37</v>
      </c>
      <c r="D3" s="8" t="s">
        <v>38</v>
      </c>
      <c r="E3" s="9" t="s">
        <v>39</v>
      </c>
      <c r="F3" s="8" t="s">
        <v>40</v>
      </c>
      <c r="G3" s="8" t="s">
        <v>41</v>
      </c>
      <c r="H3" s="163" t="s">
        <v>42</v>
      </c>
      <c r="I3" s="164"/>
      <c r="J3" s="10" t="s">
        <v>42</v>
      </c>
      <c r="M3" s="11"/>
      <c r="N3" s="12"/>
    </row>
    <row r="4" spans="1:16" ht="15.6" x14ac:dyDescent="0.3">
      <c r="A4" s="13"/>
      <c r="B4" s="14" t="s">
        <v>43</v>
      </c>
      <c r="C4" s="14" t="s">
        <v>44</v>
      </c>
      <c r="D4" s="14" t="s">
        <v>45</v>
      </c>
      <c r="E4" s="15" t="s">
        <v>46</v>
      </c>
      <c r="F4" s="14" t="s">
        <v>47</v>
      </c>
      <c r="G4" s="14" t="s">
        <v>42</v>
      </c>
      <c r="H4" s="165" t="s">
        <v>89</v>
      </c>
      <c r="I4" s="166"/>
      <c r="J4" s="16" t="s">
        <v>98</v>
      </c>
      <c r="M4" s="11"/>
      <c r="N4" s="12"/>
    </row>
    <row r="5" spans="1:16" ht="15.6" x14ac:dyDescent="0.3">
      <c r="A5" s="13"/>
      <c r="B5" s="14"/>
      <c r="C5" s="14"/>
      <c r="D5" s="14"/>
      <c r="E5" s="15" t="s">
        <v>49</v>
      </c>
      <c r="F5" s="17">
        <v>43830</v>
      </c>
      <c r="G5" s="14" t="s">
        <v>50</v>
      </c>
      <c r="H5" s="165" t="s">
        <v>51</v>
      </c>
      <c r="I5" s="166"/>
      <c r="J5" s="16" t="s">
        <v>52</v>
      </c>
      <c r="M5" s="11"/>
      <c r="N5" s="12"/>
    </row>
    <row r="6" spans="1:16" ht="15.6" x14ac:dyDescent="0.3">
      <c r="A6" s="18" t="s">
        <v>53</v>
      </c>
      <c r="B6" s="19">
        <v>20</v>
      </c>
      <c r="C6" s="20">
        <v>650000</v>
      </c>
      <c r="D6" s="19">
        <v>18</v>
      </c>
      <c r="E6" s="21">
        <v>0.35</v>
      </c>
      <c r="F6" s="22">
        <f>SUM(F11*E6)</f>
        <v>41650</v>
      </c>
      <c r="G6" s="22">
        <f>SUM((C6-F6))</f>
        <v>608350</v>
      </c>
      <c r="H6" s="167">
        <f>SUM(G6/D6)</f>
        <v>33797.222222222219</v>
      </c>
      <c r="I6" s="168"/>
      <c r="J6" s="23">
        <f>C6/D6*0.18</f>
        <v>6499.9999999999991</v>
      </c>
      <c r="M6" s="11"/>
      <c r="N6" s="12"/>
    </row>
    <row r="7" spans="1:16" ht="15.6" x14ac:dyDescent="0.3">
      <c r="A7" s="18" t="s">
        <v>58</v>
      </c>
      <c r="B7" s="19">
        <v>8</v>
      </c>
      <c r="C7" s="22">
        <v>50000</v>
      </c>
      <c r="D7" s="19">
        <v>6</v>
      </c>
      <c r="E7" s="21">
        <v>0.1</v>
      </c>
      <c r="F7" s="22">
        <f>SUM(F11*E7)</f>
        <v>11900</v>
      </c>
      <c r="G7" s="22">
        <f>SUM(C7-F7)</f>
        <v>38100</v>
      </c>
      <c r="H7" s="167">
        <f>SUM(G7/D7)</f>
        <v>6350</v>
      </c>
      <c r="I7" s="168"/>
      <c r="J7" s="23">
        <f>C7/D7*0.18</f>
        <v>1500</v>
      </c>
      <c r="M7" s="11"/>
      <c r="N7" s="12"/>
    </row>
    <row r="8" spans="1:16" ht="27" x14ac:dyDescent="0.3">
      <c r="A8" s="30" t="s">
        <v>59</v>
      </c>
      <c r="B8" s="19">
        <v>30</v>
      </c>
      <c r="C8" s="22">
        <v>150000</v>
      </c>
      <c r="D8" s="19">
        <v>30</v>
      </c>
      <c r="E8" s="21">
        <v>0.25</v>
      </c>
      <c r="F8" s="22">
        <f>SUM(F11*E8)</f>
        <v>29750</v>
      </c>
      <c r="G8" s="22">
        <f>SUM(C8-F8)</f>
        <v>120250</v>
      </c>
      <c r="H8" s="167">
        <f>SUM(G8/D8)</f>
        <v>4008.3333333333335</v>
      </c>
      <c r="I8" s="168"/>
      <c r="J8" s="23">
        <f>C8/D8*0.18</f>
        <v>900</v>
      </c>
      <c r="M8" s="11"/>
      <c r="N8" s="12"/>
    </row>
    <row r="9" spans="1:16" ht="15.6" x14ac:dyDescent="0.3">
      <c r="A9" s="18" t="s">
        <v>54</v>
      </c>
      <c r="B9" s="19">
        <v>20</v>
      </c>
      <c r="C9" s="22">
        <v>80000</v>
      </c>
      <c r="D9" s="19">
        <v>20</v>
      </c>
      <c r="E9" s="21">
        <v>0.15</v>
      </c>
      <c r="F9" s="22">
        <f>SUM(F11*E9)</f>
        <v>17850</v>
      </c>
      <c r="G9" s="22">
        <f>SUM(C9-F9)</f>
        <v>62150</v>
      </c>
      <c r="H9" s="167">
        <f>SUM(G9/D9)</f>
        <v>3107.5</v>
      </c>
      <c r="I9" s="168"/>
      <c r="J9" s="24">
        <f>C9/D9*0.18</f>
        <v>720</v>
      </c>
      <c r="M9" s="11" t="s">
        <v>104</v>
      </c>
      <c r="N9" s="12"/>
    </row>
    <row r="10" spans="1:16" x14ac:dyDescent="0.3">
      <c r="A10" s="18" t="s">
        <v>55</v>
      </c>
      <c r="B10" s="19">
        <v>8</v>
      </c>
      <c r="C10" s="22">
        <v>68000</v>
      </c>
      <c r="D10" s="19">
        <v>8</v>
      </c>
      <c r="E10" s="21">
        <v>0.15</v>
      </c>
      <c r="F10" s="22">
        <f>SUM(F11*E10)</f>
        <v>17850</v>
      </c>
      <c r="G10" s="22">
        <f>SUM(C10-F10)</f>
        <v>50150</v>
      </c>
      <c r="H10" s="167">
        <f>SUM(G10/D10)</f>
        <v>6268.75</v>
      </c>
      <c r="I10" s="168"/>
      <c r="J10" s="24">
        <f>C10/D10*0.18</f>
        <v>1530</v>
      </c>
      <c r="P10">
        <f>11150/12</f>
        <v>929.16666666666663</v>
      </c>
    </row>
    <row r="11" spans="1:16" ht="25.5" customHeight="1" thickBot="1" x14ac:dyDescent="0.35">
      <c r="A11" s="25" t="s">
        <v>56</v>
      </c>
      <c r="B11" s="26"/>
      <c r="C11" s="27">
        <f>SUM(C6:C10)</f>
        <v>998000</v>
      </c>
      <c r="D11" s="26"/>
      <c r="E11" s="28">
        <f>SUM(E6:E10)</f>
        <v>1</v>
      </c>
      <c r="F11" s="27">
        <v>119000</v>
      </c>
      <c r="G11" s="27">
        <f>SUM(G6:G10)</f>
        <v>879000</v>
      </c>
      <c r="H11" s="169">
        <f>SUM(H6:I10)</f>
        <v>53531.805555555555</v>
      </c>
      <c r="I11" s="170"/>
      <c r="J11" s="29">
        <f>SUM(J6:J10)</f>
        <v>11150</v>
      </c>
      <c r="P11" t="s">
        <v>105</v>
      </c>
    </row>
    <row r="12" spans="1:16" ht="25.5" customHeight="1" x14ac:dyDescent="0.3"/>
    <row r="13" spans="1:16" s="55" customFormat="1" ht="93.75" customHeight="1" x14ac:dyDescent="0.3">
      <c r="A13" s="56"/>
      <c r="B13" s="158" t="s">
        <v>69</v>
      </c>
      <c r="C13" s="158"/>
      <c r="D13" s="69" t="s">
        <v>68</v>
      </c>
      <c r="E13" s="159" t="s">
        <v>75</v>
      </c>
      <c r="F13" s="160"/>
      <c r="G13" s="69" t="s">
        <v>78</v>
      </c>
      <c r="H13" s="91" t="s">
        <v>76</v>
      </c>
      <c r="I13" s="69" t="s">
        <v>77</v>
      </c>
      <c r="J13" s="103" t="s">
        <v>99</v>
      </c>
    </row>
    <row r="14" spans="1:16" s="55" customFormat="1" ht="81.75" customHeight="1" x14ac:dyDescent="0.3">
      <c r="A14" s="56" t="s">
        <v>63</v>
      </c>
      <c r="B14" s="161" t="s">
        <v>87</v>
      </c>
      <c r="C14" s="161"/>
      <c r="D14" s="161"/>
      <c r="E14" s="56">
        <v>1.2E-2</v>
      </c>
      <c r="F14" s="57">
        <f>SUM('budget 2020'!F42)</f>
        <v>302.3</v>
      </c>
      <c r="G14" s="57">
        <f>SUM(H11*E14/12)</f>
        <v>53.531805555555557</v>
      </c>
      <c r="H14" s="92">
        <f>SUM(F14+G14+'budget 2019'!E42)</f>
        <v>409.70180555555555</v>
      </c>
      <c r="I14" s="57">
        <f>SUM(J11*E14/12)</f>
        <v>11.15</v>
      </c>
      <c r="J14" s="104">
        <f>SUM(F14+I14)</f>
        <v>313.45</v>
      </c>
      <c r="K14" s="93"/>
    </row>
    <row r="15" spans="1:16" s="55" customFormat="1" ht="60" customHeight="1" x14ac:dyDescent="0.3">
      <c r="A15" s="56" t="s">
        <v>64</v>
      </c>
      <c r="B15" s="161" t="s">
        <v>71</v>
      </c>
      <c r="C15" s="161"/>
      <c r="D15" s="161"/>
      <c r="E15" s="56">
        <v>8.0000000000000002E-3</v>
      </c>
      <c r="F15" s="57">
        <f>SUM('budget 2020'!F43)</f>
        <v>220.57</v>
      </c>
      <c r="G15" s="57">
        <f>SUM(H11*E15/12)</f>
        <v>35.687870370370369</v>
      </c>
      <c r="H15" s="92">
        <f>SUM(G15+F15+'budget 2019'!E43)</f>
        <v>310.12787037037037</v>
      </c>
      <c r="I15" s="57">
        <f>SUM(J11*E15/12)</f>
        <v>7.4333333333333336</v>
      </c>
      <c r="J15" s="105">
        <f>SUM(I15+F15)</f>
        <v>228.00333333333333</v>
      </c>
      <c r="K15" s="93"/>
    </row>
    <row r="16" spans="1:16" s="55" customFormat="1" ht="54.75" customHeight="1" x14ac:dyDescent="0.35">
      <c r="A16" s="56" t="s">
        <v>65</v>
      </c>
      <c r="B16" s="161" t="s">
        <v>72</v>
      </c>
      <c r="C16" s="161"/>
      <c r="D16" s="161"/>
      <c r="E16" s="56">
        <v>1.2999999999999999E-2</v>
      </c>
      <c r="F16" s="57">
        <f>SUM('budget 2020'!F44)</f>
        <v>322.73</v>
      </c>
      <c r="G16" s="57">
        <f>SUM(H11*E16/12)</f>
        <v>57.992789351851847</v>
      </c>
      <c r="H16" s="92">
        <f>SUM(G16+F16+'budget 2019'!E44)</f>
        <v>434.59278935185188</v>
      </c>
      <c r="I16" s="57">
        <f>SUM(J11*E16/12)</f>
        <v>12.079166666666666</v>
      </c>
      <c r="J16" s="105">
        <f>SUM(I16+F16)</f>
        <v>334.80916666666667</v>
      </c>
      <c r="O16" s="58"/>
    </row>
    <row r="17" spans="1:10" s="55" customFormat="1" ht="42" customHeight="1" x14ac:dyDescent="0.3">
      <c r="A17" s="56" t="s">
        <v>66</v>
      </c>
      <c r="B17" s="161" t="s">
        <v>73</v>
      </c>
      <c r="C17" s="161"/>
      <c r="D17" s="161"/>
      <c r="E17" s="56">
        <v>1.0999999999999999E-2</v>
      </c>
      <c r="F17" s="57">
        <f>SUM('budget 2020'!F45)</f>
        <v>281.86</v>
      </c>
      <c r="G17" s="57">
        <f>SUM(H11*E17/12)</f>
        <v>49.070821759259253</v>
      </c>
      <c r="H17" s="92">
        <f>SUM(G17+F17+'budget 2019'!E45)</f>
        <v>384.80082175925929</v>
      </c>
      <c r="I17" s="57">
        <f>SUM(J11*E17/12)</f>
        <v>10.220833333333333</v>
      </c>
      <c r="J17" s="105">
        <f>SUM(I17+F17)</f>
        <v>292.08083333333337</v>
      </c>
    </row>
    <row r="18" spans="1:10" s="55" customFormat="1" ht="33.75" customHeight="1" x14ac:dyDescent="0.3">
      <c r="A18" s="56" t="s">
        <v>67</v>
      </c>
      <c r="B18" s="161" t="s">
        <v>74</v>
      </c>
      <c r="C18" s="161"/>
      <c r="D18" s="161"/>
      <c r="E18" s="56">
        <v>8.9999999999999993E-3</v>
      </c>
      <c r="F18" s="57">
        <f>SUM('budget 2020'!F46)</f>
        <v>241</v>
      </c>
      <c r="G18" s="57">
        <f>SUM(H11*E18/12)</f>
        <v>40.148854166666659</v>
      </c>
      <c r="H18" s="92">
        <f>SUM(G18+F18+'budget 2019'!E46)</f>
        <v>335.01885416666664</v>
      </c>
      <c r="I18" s="57">
        <f>SUM(J11*E18/12)</f>
        <v>8.3624999999999989</v>
      </c>
      <c r="J18" s="105">
        <f>SUM(I18+F18)</f>
        <v>249.36250000000001</v>
      </c>
    </row>
    <row r="19" spans="1:10" ht="15" thickBot="1" x14ac:dyDescent="0.35"/>
    <row r="20" spans="1:10" ht="35.25" customHeight="1" x14ac:dyDescent="0.3">
      <c r="A20" s="179" t="s">
        <v>57</v>
      </c>
      <c r="B20" s="180"/>
      <c r="C20" s="180"/>
      <c r="D20" s="180"/>
      <c r="E20" s="180"/>
      <c r="F20" s="180"/>
      <c r="G20" s="180"/>
      <c r="H20" s="180"/>
      <c r="I20" s="180"/>
      <c r="J20" s="181"/>
    </row>
    <row r="21" spans="1:10" ht="56.1" customHeight="1" thickBot="1" x14ac:dyDescent="0.35">
      <c r="A21" s="182"/>
      <c r="B21" s="183"/>
      <c r="C21" s="183"/>
      <c r="D21" s="183"/>
      <c r="E21" s="183"/>
      <c r="F21" s="183"/>
      <c r="G21" s="183"/>
      <c r="H21" s="183"/>
      <c r="I21" s="183"/>
      <c r="J21" s="184"/>
    </row>
  </sheetData>
  <mergeCells count="18">
    <mergeCell ref="H7:I7"/>
    <mergeCell ref="A1:I1"/>
    <mergeCell ref="H3:I3"/>
    <mergeCell ref="H4:I4"/>
    <mergeCell ref="H5:I5"/>
    <mergeCell ref="H6:I6"/>
    <mergeCell ref="A20:J21"/>
    <mergeCell ref="H8:I8"/>
    <mergeCell ref="H9:I9"/>
    <mergeCell ref="H10:I10"/>
    <mergeCell ref="H11:I11"/>
    <mergeCell ref="B13:C13"/>
    <mergeCell ref="E13:F13"/>
    <mergeCell ref="B14:D14"/>
    <mergeCell ref="B15:D15"/>
    <mergeCell ref="B16:D16"/>
    <mergeCell ref="B17:D17"/>
    <mergeCell ref="B18:D18"/>
  </mergeCells>
  <pageMargins left="0.25" right="0.25" top="0.75" bottom="0.75" header="0.3" footer="0.3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332E-D83F-4944-B0FC-B9F3AB800603}">
  <dimension ref="A1:P22"/>
  <sheetViews>
    <sheetView view="pageBreakPreview" topLeftCell="A13" zoomScale="150" zoomScaleNormal="100" zoomScaleSheetLayoutView="66" workbookViewId="0">
      <selection activeCell="E14" sqref="E14:F14"/>
    </sheetView>
  </sheetViews>
  <sheetFormatPr defaultColWidth="9" defaultRowHeight="14.4" x14ac:dyDescent="0.3"/>
  <cols>
    <col min="1" max="1" width="17" bestFit="1" customWidth="1"/>
    <col min="2" max="2" width="11" bestFit="1" customWidth="1"/>
    <col min="3" max="3" width="16.44140625" bestFit="1" customWidth="1"/>
    <col min="4" max="4" width="15.44140625" bestFit="1" customWidth="1"/>
    <col min="5" max="5" width="12.21875" bestFit="1" customWidth="1"/>
    <col min="6" max="6" width="14.5546875" customWidth="1"/>
    <col min="7" max="7" width="16.21875" bestFit="1" customWidth="1"/>
    <col min="8" max="8" width="12.44140625" bestFit="1" customWidth="1"/>
    <col min="9" max="9" width="16.21875" bestFit="1" customWidth="1"/>
    <col min="10" max="10" width="24.21875" bestFit="1" customWidth="1"/>
    <col min="13" max="13" width="22.44140625" customWidth="1"/>
    <col min="15" max="15" width="12.44140625" bestFit="1" customWidth="1"/>
  </cols>
  <sheetData>
    <row r="1" spans="1:16" ht="22.8" x14ac:dyDescent="0.4">
      <c r="A1" s="162" t="s">
        <v>109</v>
      </c>
      <c r="B1" s="162"/>
      <c r="C1" s="162"/>
      <c r="D1" s="162"/>
      <c r="E1" s="162"/>
      <c r="F1" s="162"/>
      <c r="G1" s="162"/>
      <c r="H1" s="162"/>
      <c r="I1" s="162"/>
    </row>
    <row r="2" spans="1:16" ht="25.5" customHeight="1" thickBot="1" x14ac:dyDescent="0.35"/>
    <row r="3" spans="1:16" ht="15.6" x14ac:dyDescent="0.3">
      <c r="A3" s="7" t="s">
        <v>36</v>
      </c>
      <c r="B3" s="8" t="s">
        <v>37</v>
      </c>
      <c r="C3" s="8" t="s">
        <v>37</v>
      </c>
      <c r="D3" s="8" t="s">
        <v>38</v>
      </c>
      <c r="E3" s="9" t="s">
        <v>39</v>
      </c>
      <c r="F3" s="107" t="s">
        <v>40</v>
      </c>
      <c r="G3" s="8" t="s">
        <v>41</v>
      </c>
      <c r="H3" s="163" t="s">
        <v>42</v>
      </c>
      <c r="I3" s="164"/>
      <c r="J3" s="10" t="s">
        <v>42</v>
      </c>
      <c r="M3" s="11"/>
      <c r="N3" s="12"/>
    </row>
    <row r="4" spans="1:16" ht="15.6" x14ac:dyDescent="0.3">
      <c r="A4" s="13"/>
      <c r="B4" s="14" t="s">
        <v>43</v>
      </c>
      <c r="C4" s="14" t="s">
        <v>44</v>
      </c>
      <c r="D4" s="14" t="s">
        <v>45</v>
      </c>
      <c r="E4" s="15" t="s">
        <v>46</v>
      </c>
      <c r="F4" s="108" t="s">
        <v>47</v>
      </c>
      <c r="G4" s="14" t="s">
        <v>42</v>
      </c>
      <c r="H4" s="165" t="s">
        <v>89</v>
      </c>
      <c r="I4" s="166"/>
      <c r="J4" s="16" t="s">
        <v>98</v>
      </c>
      <c r="M4" s="11"/>
      <c r="N4" s="12"/>
    </row>
    <row r="5" spans="1:16" ht="15.6" x14ac:dyDescent="0.3">
      <c r="A5" s="13"/>
      <c r="B5" s="14"/>
      <c r="C5" s="14"/>
      <c r="D5" s="14"/>
      <c r="E5" s="15" t="s">
        <v>49</v>
      </c>
      <c r="F5" s="109">
        <v>43972</v>
      </c>
      <c r="G5" s="14" t="s">
        <v>50</v>
      </c>
      <c r="H5" s="165" t="s">
        <v>51</v>
      </c>
      <c r="I5" s="166"/>
      <c r="J5" s="16" t="s">
        <v>52</v>
      </c>
      <c r="M5" s="11"/>
      <c r="N5" s="12"/>
    </row>
    <row r="6" spans="1:16" ht="15.6" x14ac:dyDescent="0.3">
      <c r="A6" s="18" t="s">
        <v>53</v>
      </c>
      <c r="B6" s="19">
        <v>20</v>
      </c>
      <c r="C6" s="20">
        <v>650000</v>
      </c>
      <c r="D6" s="19">
        <v>18</v>
      </c>
      <c r="E6" s="21">
        <v>0.35</v>
      </c>
      <c r="F6" s="110">
        <f>SUM(F12*E6)</f>
        <v>43806.727999999996</v>
      </c>
      <c r="G6" s="22">
        <f>SUM((C6-F6))</f>
        <v>606193.272</v>
      </c>
      <c r="H6" s="167">
        <f>SUM(G6/D6)</f>
        <v>33677.404000000002</v>
      </c>
      <c r="I6" s="168"/>
      <c r="J6" s="23">
        <f>C6/D6*0.18</f>
        <v>6499.9999999999991</v>
      </c>
      <c r="M6" s="11"/>
      <c r="N6" s="12"/>
    </row>
    <row r="7" spans="1:16" ht="15.6" x14ac:dyDescent="0.3">
      <c r="A7" s="18" t="s">
        <v>107</v>
      </c>
      <c r="B7" s="19">
        <v>50</v>
      </c>
      <c r="C7" s="20">
        <v>450000</v>
      </c>
      <c r="D7" s="19">
        <v>50</v>
      </c>
      <c r="E7" s="21"/>
      <c r="F7" s="110"/>
      <c r="G7" s="22">
        <v>450000</v>
      </c>
      <c r="H7" s="167">
        <f>G7/50</f>
        <v>9000</v>
      </c>
      <c r="I7" s="168"/>
      <c r="J7" s="23">
        <f>H7*0.18</f>
        <v>1620</v>
      </c>
      <c r="M7" s="11"/>
      <c r="N7" s="12"/>
    </row>
    <row r="8" spans="1:16" ht="15.6" x14ac:dyDescent="0.3">
      <c r="A8" s="18" t="s">
        <v>58</v>
      </c>
      <c r="B8" s="19">
        <v>8</v>
      </c>
      <c r="C8" s="22">
        <v>50000</v>
      </c>
      <c r="D8" s="19">
        <v>6</v>
      </c>
      <c r="E8" s="21">
        <v>0.1</v>
      </c>
      <c r="F8" s="110">
        <f>SUM(F12*E8)</f>
        <v>12516.208000000001</v>
      </c>
      <c r="G8" s="22">
        <f>SUM(C8-F8)</f>
        <v>37483.792000000001</v>
      </c>
      <c r="H8" s="167">
        <f>SUM(G8/D8)</f>
        <v>6247.2986666666666</v>
      </c>
      <c r="I8" s="168"/>
      <c r="J8" s="23">
        <f>C8/D8*0.18</f>
        <v>1500</v>
      </c>
      <c r="M8" s="11"/>
      <c r="N8" s="12"/>
    </row>
    <row r="9" spans="1:16" ht="27" x14ac:dyDescent="0.3">
      <c r="A9" s="30" t="s">
        <v>59</v>
      </c>
      <c r="B9" s="19">
        <v>30</v>
      </c>
      <c r="C9" s="22">
        <v>150000</v>
      </c>
      <c r="D9" s="19">
        <v>30</v>
      </c>
      <c r="E9" s="21">
        <v>0.25</v>
      </c>
      <c r="F9" s="110">
        <f>SUM(F12*E9)</f>
        <v>31290.52</v>
      </c>
      <c r="G9" s="22">
        <f>SUM(C9-F9)</f>
        <v>118709.48</v>
      </c>
      <c r="H9" s="167">
        <f>SUM(G9/D9)</f>
        <v>3956.9826666666663</v>
      </c>
      <c r="I9" s="168"/>
      <c r="J9" s="23">
        <f>C9/D9*0.18</f>
        <v>900</v>
      </c>
      <c r="M9" s="11"/>
      <c r="N9" s="12"/>
    </row>
    <row r="10" spans="1:16" ht="15.6" x14ac:dyDescent="0.3">
      <c r="A10" s="18" t="s">
        <v>54</v>
      </c>
      <c r="B10" s="19">
        <v>20</v>
      </c>
      <c r="C10" s="22">
        <v>80000</v>
      </c>
      <c r="D10" s="19">
        <v>20</v>
      </c>
      <c r="E10" s="21">
        <v>0.15</v>
      </c>
      <c r="F10" s="110">
        <f>SUM(F12*E10)</f>
        <v>18774.311999999998</v>
      </c>
      <c r="G10" s="22">
        <f>SUM(C10-F10)</f>
        <v>61225.688000000002</v>
      </c>
      <c r="H10" s="167">
        <f>SUM(G10/D10)</f>
        <v>3061.2844</v>
      </c>
      <c r="I10" s="168"/>
      <c r="J10" s="24">
        <f>C10/D10*0.18</f>
        <v>720</v>
      </c>
      <c r="M10" s="11" t="s">
        <v>104</v>
      </c>
      <c r="N10" s="12"/>
    </row>
    <row r="11" spans="1:16" x14ac:dyDescent="0.3">
      <c r="A11" s="18" t="s">
        <v>55</v>
      </c>
      <c r="B11" s="19">
        <v>8</v>
      </c>
      <c r="C11" s="22">
        <v>68000</v>
      </c>
      <c r="D11" s="19">
        <v>8</v>
      </c>
      <c r="E11" s="21">
        <v>0.15</v>
      </c>
      <c r="F11" s="110">
        <f>SUM(F12*E11)</f>
        <v>18774.311999999998</v>
      </c>
      <c r="G11" s="22">
        <f>SUM(C11-F11)</f>
        <v>49225.688000000002</v>
      </c>
      <c r="H11" s="167">
        <f>SUM(G11/D11)</f>
        <v>6153.2110000000002</v>
      </c>
      <c r="I11" s="168"/>
      <c r="J11" s="24">
        <f>C11/D11*0.18</f>
        <v>1530</v>
      </c>
      <c r="P11">
        <f>11150/12</f>
        <v>929.16666666666663</v>
      </c>
    </row>
    <row r="12" spans="1:16" ht="25.5" customHeight="1" thickBot="1" x14ac:dyDescent="0.35">
      <c r="A12" s="25" t="s">
        <v>56</v>
      </c>
      <c r="B12" s="26"/>
      <c r="C12" s="27">
        <f>SUM(C6:C11)</f>
        <v>1448000</v>
      </c>
      <c r="D12" s="26"/>
      <c r="E12" s="28">
        <f>SUM(E6:E11)</f>
        <v>1</v>
      </c>
      <c r="F12" s="111">
        <v>125162.08</v>
      </c>
      <c r="G12" s="27">
        <f>SUM(G6:G11)</f>
        <v>1322837.92</v>
      </c>
      <c r="H12" s="169">
        <f>SUM(H6:I11)</f>
        <v>62096.180733333335</v>
      </c>
      <c r="I12" s="170"/>
      <c r="J12" s="29">
        <f>SUM(J6:J11)</f>
        <v>12770</v>
      </c>
      <c r="P12" t="s">
        <v>105</v>
      </c>
    </row>
    <row r="13" spans="1:16" ht="25.5" customHeight="1" x14ac:dyDescent="0.3"/>
    <row r="14" spans="1:16" s="55" customFormat="1" ht="93.75" customHeight="1" x14ac:dyDescent="0.3">
      <c r="A14" s="56"/>
      <c r="B14" s="158" t="s">
        <v>69</v>
      </c>
      <c r="C14" s="158"/>
      <c r="D14" s="69" t="s">
        <v>68</v>
      </c>
      <c r="E14" s="159" t="s">
        <v>75</v>
      </c>
      <c r="F14" s="160"/>
      <c r="G14" s="69" t="s">
        <v>78</v>
      </c>
      <c r="H14" s="91" t="s">
        <v>76</v>
      </c>
      <c r="I14" s="69" t="s">
        <v>77</v>
      </c>
      <c r="J14" s="69" t="s">
        <v>99</v>
      </c>
    </row>
    <row r="15" spans="1:16" s="55" customFormat="1" ht="81.75" customHeight="1" x14ac:dyDescent="0.3">
      <c r="A15" s="56" t="s">
        <v>63</v>
      </c>
      <c r="B15" s="161" t="s">
        <v>87</v>
      </c>
      <c r="C15" s="161"/>
      <c r="D15" s="161"/>
      <c r="E15" s="56">
        <v>1.2E-2</v>
      </c>
      <c r="F15" s="57">
        <f>SUM('budget 2020'!F42)</f>
        <v>302.3</v>
      </c>
      <c r="G15" s="57">
        <f>SUM(H12*E15/12)</f>
        <v>62.096180733333334</v>
      </c>
      <c r="H15" s="92">
        <f>SUM(F15+G15+'budget 2019'!E42)</f>
        <v>418.26618073333333</v>
      </c>
      <c r="I15" s="57">
        <f>SUM(J12*E15/12)</f>
        <v>12.770000000000001</v>
      </c>
      <c r="J15" s="106">
        <f>SUM(F15+I15)</f>
        <v>315.07</v>
      </c>
      <c r="K15" s="93"/>
    </row>
    <row r="16" spans="1:16" s="55" customFormat="1" ht="60" customHeight="1" x14ac:dyDescent="0.3">
      <c r="A16" s="56" t="s">
        <v>64</v>
      </c>
      <c r="B16" s="161" t="s">
        <v>71</v>
      </c>
      <c r="C16" s="161"/>
      <c r="D16" s="161"/>
      <c r="E16" s="56">
        <v>8.0000000000000002E-3</v>
      </c>
      <c r="F16" s="57">
        <f>SUM('budget 2020'!F43)</f>
        <v>220.57</v>
      </c>
      <c r="G16" s="57">
        <f>SUM(H12*E16/12)</f>
        <v>41.397453822222225</v>
      </c>
      <c r="H16" s="92">
        <f>SUM(G16+F16+'budget 2019'!E43)</f>
        <v>315.83745382222224</v>
      </c>
      <c r="I16" s="57">
        <f>SUM(J12*E16/12)</f>
        <v>8.5133333333333336</v>
      </c>
      <c r="J16" s="57">
        <f>SUM(I16+F16)</f>
        <v>229.08333333333331</v>
      </c>
      <c r="K16" s="93"/>
    </row>
    <row r="17" spans="1:15" s="55" customFormat="1" ht="54.75" customHeight="1" x14ac:dyDescent="0.35">
      <c r="A17" s="56" t="s">
        <v>65</v>
      </c>
      <c r="B17" s="161" t="s">
        <v>72</v>
      </c>
      <c r="C17" s="161"/>
      <c r="D17" s="161"/>
      <c r="E17" s="56">
        <v>1.2999999999999999E-2</v>
      </c>
      <c r="F17" s="57">
        <f>SUM('budget 2020'!F44)</f>
        <v>322.73</v>
      </c>
      <c r="G17" s="57">
        <f>SUM(H12*E17/12)</f>
        <v>67.270862461111108</v>
      </c>
      <c r="H17" s="92">
        <f>SUM(G17+F17+'budget 2019'!E44)</f>
        <v>443.87086246111113</v>
      </c>
      <c r="I17" s="57">
        <f>SUM(J12*E17/12)</f>
        <v>13.834166666666667</v>
      </c>
      <c r="J17" s="57">
        <f>SUM(I17+F17)</f>
        <v>336.56416666666667</v>
      </c>
      <c r="O17" s="58"/>
    </row>
    <row r="18" spans="1:15" s="55" customFormat="1" ht="42" customHeight="1" x14ac:dyDescent="0.3">
      <c r="A18" s="56" t="s">
        <v>66</v>
      </c>
      <c r="B18" s="161" t="s">
        <v>73</v>
      </c>
      <c r="C18" s="161"/>
      <c r="D18" s="161"/>
      <c r="E18" s="56">
        <v>1.0999999999999999E-2</v>
      </c>
      <c r="F18" s="57">
        <f>SUM('budget 2020'!F45)</f>
        <v>281.86</v>
      </c>
      <c r="G18" s="57">
        <f>SUM(H12*E18/12)</f>
        <v>56.921499005555553</v>
      </c>
      <c r="H18" s="92">
        <f>SUM(G18+F18+'budget 2019'!E45)</f>
        <v>392.65149900555559</v>
      </c>
      <c r="I18" s="57">
        <f>SUM(J12*E18/12)</f>
        <v>11.705833333333333</v>
      </c>
      <c r="J18" s="57">
        <f>SUM(I18+F18)</f>
        <v>293.56583333333333</v>
      </c>
    </row>
    <row r="19" spans="1:15" s="55" customFormat="1" ht="33.75" customHeight="1" x14ac:dyDescent="0.3">
      <c r="A19" s="56" t="s">
        <v>67</v>
      </c>
      <c r="B19" s="161" t="s">
        <v>74</v>
      </c>
      <c r="C19" s="161"/>
      <c r="D19" s="161"/>
      <c r="E19" s="56">
        <v>8.9999999999999993E-3</v>
      </c>
      <c r="F19" s="57">
        <f>SUM('budget 2020'!F46)</f>
        <v>241</v>
      </c>
      <c r="G19" s="57">
        <f>SUM(H12*E19/12)</f>
        <v>46.572135549999992</v>
      </c>
      <c r="H19" s="92">
        <f>SUM(G19+F19+'budget 2019'!E46)</f>
        <v>341.44213554999999</v>
      </c>
      <c r="I19" s="57">
        <f>SUM(J12*E19/12)</f>
        <v>9.5774999999999988</v>
      </c>
      <c r="J19" s="57">
        <f>SUM(I19+F19)</f>
        <v>250.57749999999999</v>
      </c>
    </row>
    <row r="20" spans="1:15" ht="15" thickBot="1" x14ac:dyDescent="0.35"/>
    <row r="21" spans="1:15" ht="35.25" customHeight="1" x14ac:dyDescent="0.3">
      <c r="A21" s="179" t="s">
        <v>57</v>
      </c>
      <c r="B21" s="180"/>
      <c r="C21" s="180"/>
      <c r="D21" s="180"/>
      <c r="E21" s="180"/>
      <c r="F21" s="180"/>
      <c r="G21" s="180"/>
      <c r="H21" s="180"/>
      <c r="I21" s="180"/>
      <c r="J21" s="181"/>
    </row>
    <row r="22" spans="1:15" ht="56.1" customHeight="1" thickBot="1" x14ac:dyDescent="0.35">
      <c r="A22" s="182"/>
      <c r="B22" s="183"/>
      <c r="C22" s="183"/>
      <c r="D22" s="183"/>
      <c r="E22" s="183"/>
      <c r="F22" s="183"/>
      <c r="G22" s="183"/>
      <c r="H22" s="183"/>
      <c r="I22" s="183"/>
      <c r="J22" s="184"/>
    </row>
  </sheetData>
  <mergeCells count="19">
    <mergeCell ref="A21:J22"/>
    <mergeCell ref="H9:I9"/>
    <mergeCell ref="H10:I10"/>
    <mergeCell ref="H11:I11"/>
    <mergeCell ref="H12:I12"/>
    <mergeCell ref="B14:C14"/>
    <mergeCell ref="E14:F14"/>
    <mergeCell ref="B15:D15"/>
    <mergeCell ref="B16:D16"/>
    <mergeCell ref="B17:D17"/>
    <mergeCell ref="B18:D18"/>
    <mergeCell ref="B19:D19"/>
    <mergeCell ref="H8:I8"/>
    <mergeCell ref="H7:I7"/>
    <mergeCell ref="A1:I1"/>
    <mergeCell ref="H3:I3"/>
    <mergeCell ref="H4:I4"/>
    <mergeCell ref="H5:I5"/>
    <mergeCell ref="H6:I6"/>
  </mergeCells>
  <pageMargins left="0.25" right="0.25" top="0.75" bottom="0.75" header="0.3" footer="0.3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C638-9A99-E64E-85E4-EE0CDD481531}">
  <dimension ref="A1:K58"/>
  <sheetViews>
    <sheetView view="pageBreakPreview" zoomScale="86" zoomScaleNormal="86" zoomScaleSheetLayoutView="86" workbookViewId="0">
      <selection activeCell="A2" sqref="A2"/>
    </sheetView>
  </sheetViews>
  <sheetFormatPr defaultColWidth="8.77734375" defaultRowHeight="15.6" x14ac:dyDescent="0.3"/>
  <cols>
    <col min="1" max="1" width="14.77734375" customWidth="1"/>
    <col min="2" max="2" width="31.77734375" customWidth="1"/>
    <col min="3" max="3" width="18.5546875" style="37" bestFit="1" customWidth="1"/>
    <col min="4" max="4" width="19.21875" style="31" bestFit="1" customWidth="1"/>
    <col min="5" max="5" width="18.5546875" style="33" bestFit="1" customWidth="1"/>
    <col min="6" max="6" width="14.77734375" customWidth="1"/>
    <col min="7" max="7" width="13.44140625" customWidth="1"/>
    <col min="8" max="8" width="12.44140625" customWidth="1"/>
    <col min="9" max="9" width="11.77734375" bestFit="1" customWidth="1"/>
    <col min="10" max="10" width="11.21875" bestFit="1" customWidth="1"/>
    <col min="11" max="11" width="12.44140625" bestFit="1" customWidth="1"/>
  </cols>
  <sheetData>
    <row r="1" spans="1:9" ht="15.75" customHeight="1" x14ac:dyDescent="0.3">
      <c r="B1" s="151" t="s">
        <v>112</v>
      </c>
      <c r="C1" s="151"/>
      <c r="D1" s="151"/>
      <c r="E1" s="151"/>
    </row>
    <row r="2" spans="1:9" ht="35.1" customHeight="1" x14ac:dyDescent="0.3">
      <c r="B2" s="136"/>
      <c r="C2" s="136"/>
      <c r="D2" s="136"/>
      <c r="E2" s="136"/>
    </row>
    <row r="3" spans="1:9" ht="33.75" customHeight="1" x14ac:dyDescent="0.3">
      <c r="A3" s="3" t="s">
        <v>62</v>
      </c>
      <c r="B3" s="2"/>
      <c r="C3" s="64" t="s">
        <v>113</v>
      </c>
      <c r="D3" s="65" t="s">
        <v>114</v>
      </c>
      <c r="E3" s="64" t="s">
        <v>115</v>
      </c>
    </row>
    <row r="4" spans="1:9" x14ac:dyDescent="0.3">
      <c r="A4" s="1"/>
      <c r="B4" s="1" t="s">
        <v>120</v>
      </c>
      <c r="C4" s="86">
        <f>SUM(I53)</f>
        <v>0</v>
      </c>
      <c r="D4" s="82">
        <v>240000</v>
      </c>
      <c r="E4" s="86">
        <f>SUM(K53)-1750</f>
        <v>232949.99999999997</v>
      </c>
    </row>
    <row r="5" spans="1:9" x14ac:dyDescent="0.3">
      <c r="A5" s="1"/>
      <c r="B5" s="1" t="s">
        <v>10</v>
      </c>
      <c r="C5" s="86">
        <f>C43</f>
        <v>63000</v>
      </c>
      <c r="D5" s="82">
        <f>57.1*92*12</f>
        <v>63038.399999999994</v>
      </c>
      <c r="E5" s="86">
        <v>0</v>
      </c>
    </row>
    <row r="6" spans="1:9" x14ac:dyDescent="0.3">
      <c r="A6" s="1"/>
      <c r="B6" s="1" t="s">
        <v>119</v>
      </c>
      <c r="C6" s="86">
        <v>0</v>
      </c>
      <c r="D6" s="82">
        <v>600</v>
      </c>
      <c r="E6" s="86">
        <v>600</v>
      </c>
    </row>
    <row r="7" spans="1:9" x14ac:dyDescent="0.3">
      <c r="A7" s="1"/>
      <c r="B7" s="1" t="s">
        <v>116</v>
      </c>
      <c r="C7" s="82">
        <v>1200</v>
      </c>
      <c r="D7" s="82">
        <v>700</v>
      </c>
      <c r="E7" s="82">
        <v>650</v>
      </c>
    </row>
    <row r="8" spans="1:9" x14ac:dyDescent="0.3">
      <c r="A8" s="1"/>
      <c r="B8" s="1" t="s">
        <v>125</v>
      </c>
      <c r="C8" s="82">
        <v>0</v>
      </c>
      <c r="D8" s="82">
        <v>149900</v>
      </c>
      <c r="E8" s="82">
        <v>0</v>
      </c>
      <c r="I8" s="79">
        <f>E4+E6+E7+E10</f>
        <v>234699.99999999997</v>
      </c>
    </row>
    <row r="9" spans="1:9" x14ac:dyDescent="0.3">
      <c r="A9" s="1"/>
      <c r="B9" s="1" t="s">
        <v>47</v>
      </c>
      <c r="C9" s="116">
        <f>SUM('reserves 2020'!H11)</f>
        <v>53531.805555555555</v>
      </c>
      <c r="D9" s="82">
        <f>929.17*12</f>
        <v>11150.039999999999</v>
      </c>
      <c r="E9" s="95">
        <f>'reserves 2021'!J12</f>
        <v>30742.105263157893</v>
      </c>
    </row>
    <row r="10" spans="1:9" ht="16.2" thickBot="1" x14ac:dyDescent="0.35">
      <c r="A10" s="1"/>
      <c r="B10" s="1" t="s">
        <v>8</v>
      </c>
      <c r="C10" s="42">
        <v>500</v>
      </c>
      <c r="D10" s="84">
        <v>500</v>
      </c>
      <c r="E10" s="42">
        <v>500</v>
      </c>
    </row>
    <row r="11" spans="1:9" x14ac:dyDescent="0.3">
      <c r="A11" s="4" t="s">
        <v>1</v>
      </c>
      <c r="B11" s="4"/>
      <c r="C11" s="67">
        <f>SUM(C4:C10)</f>
        <v>118231.80555555556</v>
      </c>
      <c r="D11" s="66">
        <f>SUM(D4:D10)</f>
        <v>465888.44</v>
      </c>
      <c r="E11" s="67">
        <f>SUM(E4:E10)</f>
        <v>265442.10526315786</v>
      </c>
    </row>
    <row r="12" spans="1:9" x14ac:dyDescent="0.3">
      <c r="A12" s="4" t="s">
        <v>2</v>
      </c>
      <c r="B12" s="4"/>
      <c r="C12" s="39"/>
      <c r="D12" s="40"/>
      <c r="E12" s="39"/>
    </row>
    <row r="13" spans="1:9" x14ac:dyDescent="0.3">
      <c r="A13" s="4" t="s">
        <v>81</v>
      </c>
      <c r="B13" s="1"/>
      <c r="C13" s="39"/>
      <c r="D13" s="40"/>
      <c r="E13" s="39"/>
    </row>
    <row r="14" spans="1:9" x14ac:dyDescent="0.3">
      <c r="A14" s="34"/>
      <c r="B14" s="1" t="s">
        <v>9</v>
      </c>
      <c r="C14" s="38">
        <v>1500</v>
      </c>
      <c r="D14" s="83">
        <v>1300</v>
      </c>
      <c r="E14" s="38">
        <v>1500</v>
      </c>
    </row>
    <row r="15" spans="1:9" x14ac:dyDescent="0.3">
      <c r="A15" s="34"/>
      <c r="B15" s="1" t="s">
        <v>122</v>
      </c>
      <c r="C15" s="38">
        <v>400</v>
      </c>
      <c r="D15" s="83">
        <v>650</v>
      </c>
      <c r="E15" s="38">
        <v>650</v>
      </c>
    </row>
    <row r="16" spans="1:9" x14ac:dyDescent="0.3">
      <c r="A16" s="34"/>
      <c r="B16" s="1" t="s">
        <v>123</v>
      </c>
      <c r="C16" s="38">
        <v>0</v>
      </c>
      <c r="D16" s="83">
        <v>1900</v>
      </c>
      <c r="E16" s="38">
        <v>1900</v>
      </c>
    </row>
    <row r="17" spans="1:5" x14ac:dyDescent="0.3">
      <c r="A17" s="34"/>
      <c r="B17" s="1" t="s">
        <v>6</v>
      </c>
      <c r="C17" s="82">
        <v>10000</v>
      </c>
      <c r="D17" s="83">
        <v>5000</v>
      </c>
      <c r="E17" s="82">
        <v>5000</v>
      </c>
    </row>
    <row r="18" spans="1:5" x14ac:dyDescent="0.3">
      <c r="A18" s="34"/>
      <c r="B18" s="1" t="s">
        <v>27</v>
      </c>
      <c r="C18" s="82">
        <v>5000</v>
      </c>
      <c r="D18" s="83">
        <v>11000</v>
      </c>
      <c r="E18" s="82">
        <v>4000</v>
      </c>
    </row>
    <row r="19" spans="1:5" x14ac:dyDescent="0.3">
      <c r="A19" s="34"/>
      <c r="B19" s="1" t="s">
        <v>30</v>
      </c>
      <c r="C19" s="82">
        <v>16000</v>
      </c>
      <c r="D19" s="83">
        <v>339681.66</v>
      </c>
      <c r="E19" s="82">
        <v>0</v>
      </c>
    </row>
    <row r="20" spans="1:5" x14ac:dyDescent="0.3">
      <c r="A20" s="34"/>
      <c r="B20" s="1" t="s">
        <v>26</v>
      </c>
      <c r="C20" s="38">
        <v>100</v>
      </c>
      <c r="D20" s="41">
        <v>61.25</v>
      </c>
      <c r="E20" s="38">
        <v>100</v>
      </c>
    </row>
    <row r="21" spans="1:5" x14ac:dyDescent="0.3">
      <c r="A21" s="34"/>
      <c r="B21" s="1" t="s">
        <v>28</v>
      </c>
      <c r="C21" s="38">
        <v>500</v>
      </c>
      <c r="D21" s="38">
        <v>900</v>
      </c>
      <c r="E21" s="38">
        <v>900</v>
      </c>
    </row>
    <row r="22" spans="1:5" x14ac:dyDescent="0.3">
      <c r="A22" s="1"/>
      <c r="B22" s="1" t="s">
        <v>11</v>
      </c>
      <c r="C22" s="82">
        <v>78137</v>
      </c>
      <c r="D22" s="82">
        <v>89000</v>
      </c>
      <c r="E22" s="82">
        <v>89000</v>
      </c>
    </row>
    <row r="23" spans="1:5" x14ac:dyDescent="0.3">
      <c r="A23" s="4" t="s">
        <v>22</v>
      </c>
      <c r="B23" s="1" t="s">
        <v>121</v>
      </c>
      <c r="C23" s="38">
        <v>0</v>
      </c>
      <c r="D23" s="38">
        <v>100</v>
      </c>
      <c r="E23" s="38">
        <v>100</v>
      </c>
    </row>
    <row r="24" spans="1:5" x14ac:dyDescent="0.3">
      <c r="A24" s="35"/>
      <c r="B24" s="1" t="s">
        <v>3</v>
      </c>
      <c r="C24" s="82">
        <v>9700</v>
      </c>
      <c r="D24" s="83">
        <v>7300</v>
      </c>
      <c r="E24" s="82">
        <v>7500</v>
      </c>
    </row>
    <row r="25" spans="1:5" x14ac:dyDescent="0.3">
      <c r="A25" s="35"/>
      <c r="B25" s="1" t="s">
        <v>4</v>
      </c>
      <c r="C25" s="82">
        <v>58000</v>
      </c>
      <c r="D25" s="83">
        <v>57000</v>
      </c>
      <c r="E25" s="82">
        <v>58000</v>
      </c>
    </row>
    <row r="26" spans="1:5" x14ac:dyDescent="0.3">
      <c r="A26" s="4" t="s">
        <v>21</v>
      </c>
      <c r="B26" s="1"/>
      <c r="C26" s="82"/>
      <c r="D26" s="83"/>
      <c r="E26" s="82"/>
    </row>
    <row r="27" spans="1:5" x14ac:dyDescent="0.3">
      <c r="A27" s="34"/>
      <c r="B27" s="1" t="s">
        <v>24</v>
      </c>
      <c r="C27" s="82">
        <v>4800</v>
      </c>
      <c r="D27" s="83">
        <f>400*12</f>
        <v>4800</v>
      </c>
      <c r="E27" s="82">
        <v>4800</v>
      </c>
    </row>
    <row r="28" spans="1:5" x14ac:dyDescent="0.3">
      <c r="A28" s="34"/>
      <c r="B28" s="1" t="s">
        <v>19</v>
      </c>
      <c r="C28" s="82">
        <v>2800</v>
      </c>
      <c r="D28" s="83">
        <v>3000</v>
      </c>
      <c r="E28" s="82">
        <v>2800</v>
      </c>
    </row>
    <row r="29" spans="1:5" x14ac:dyDescent="0.3">
      <c r="A29" s="34"/>
      <c r="B29" s="1" t="s">
        <v>7</v>
      </c>
      <c r="C29" s="82">
        <v>14400</v>
      </c>
      <c r="D29" s="83">
        <f>1200*12</f>
        <v>14400</v>
      </c>
      <c r="E29" s="82">
        <v>14400</v>
      </c>
    </row>
    <row r="30" spans="1:5" x14ac:dyDescent="0.3">
      <c r="A30" s="34"/>
      <c r="B30" s="1" t="s">
        <v>5</v>
      </c>
      <c r="C30" s="82">
        <v>11400</v>
      </c>
      <c r="D30" s="83">
        <v>9800</v>
      </c>
      <c r="E30" s="82">
        <v>10000</v>
      </c>
    </row>
    <row r="31" spans="1:5" x14ac:dyDescent="0.3">
      <c r="A31" s="34"/>
      <c r="B31" s="1" t="s">
        <v>14</v>
      </c>
      <c r="C31" s="82">
        <v>15400</v>
      </c>
      <c r="D31" s="83">
        <f>288*52</f>
        <v>14976</v>
      </c>
      <c r="E31" s="82">
        <v>15400</v>
      </c>
    </row>
    <row r="32" spans="1:5" x14ac:dyDescent="0.3">
      <c r="A32" s="3" t="s">
        <v>20</v>
      </c>
      <c r="B32" s="3"/>
      <c r="C32" s="82"/>
      <c r="D32" s="83"/>
      <c r="E32" s="82"/>
    </row>
    <row r="33" spans="1:9" x14ac:dyDescent="0.3">
      <c r="A33" s="34"/>
      <c r="B33" s="1" t="s">
        <v>13</v>
      </c>
      <c r="C33" s="82">
        <v>5000</v>
      </c>
      <c r="D33" s="83">
        <v>11000</v>
      </c>
      <c r="E33" s="82">
        <v>6500</v>
      </c>
    </row>
    <row r="34" spans="1:9" x14ac:dyDescent="0.3">
      <c r="A34" s="34"/>
      <c r="B34" s="1" t="s">
        <v>35</v>
      </c>
      <c r="C34" s="82">
        <v>400</v>
      </c>
      <c r="D34" s="83">
        <v>980</v>
      </c>
      <c r="E34" s="82">
        <v>1000</v>
      </c>
    </row>
    <row r="35" spans="1:9" x14ac:dyDescent="0.3">
      <c r="A35" s="34"/>
      <c r="B35" s="1" t="s">
        <v>23</v>
      </c>
      <c r="C35" s="82">
        <v>1600</v>
      </c>
      <c r="D35" s="83">
        <v>1300</v>
      </c>
      <c r="E35" s="82">
        <v>1400</v>
      </c>
      <c r="H35" s="79">
        <f>260200-E40</f>
        <v>25500</v>
      </c>
    </row>
    <row r="36" spans="1:9" x14ac:dyDescent="0.3">
      <c r="A36" s="34"/>
      <c r="B36" s="1" t="s">
        <v>12</v>
      </c>
      <c r="C36" s="82">
        <v>2500</v>
      </c>
      <c r="D36" s="83">
        <v>0</v>
      </c>
      <c r="E36" s="82">
        <v>2500</v>
      </c>
    </row>
    <row r="37" spans="1:9" x14ac:dyDescent="0.3">
      <c r="A37" s="34"/>
      <c r="B37" s="1" t="s">
        <v>34</v>
      </c>
      <c r="C37" s="82">
        <v>1000</v>
      </c>
      <c r="D37" s="83">
        <v>400</v>
      </c>
      <c r="E37" s="82">
        <v>500</v>
      </c>
    </row>
    <row r="38" spans="1:9" x14ac:dyDescent="0.3">
      <c r="A38" s="34"/>
      <c r="B38" s="1" t="s">
        <v>33</v>
      </c>
      <c r="C38" s="82">
        <v>7800</v>
      </c>
      <c r="D38" s="83">
        <v>14000</v>
      </c>
      <c r="E38" s="82">
        <v>5000</v>
      </c>
    </row>
    <row r="39" spans="1:9" ht="16.2" thickBot="1" x14ac:dyDescent="0.35">
      <c r="A39" s="34"/>
      <c r="B39" s="1" t="s">
        <v>31</v>
      </c>
      <c r="C39" s="84">
        <v>500</v>
      </c>
      <c r="D39" s="85">
        <v>2100</v>
      </c>
      <c r="E39" s="84">
        <v>2000</v>
      </c>
    </row>
    <row r="40" spans="1:9" x14ac:dyDescent="0.3">
      <c r="A40" s="4" t="s">
        <v>15</v>
      </c>
      <c r="B40" s="4"/>
      <c r="C40" s="66">
        <f>C39+C38+C37+C36+C35+C34+C33+C31+C30+C29+C27+C28+C25+C24+C22+C21+C20+C19+C18+C17+C15+C14</f>
        <v>246937</v>
      </c>
      <c r="D40" s="81">
        <f>SUM(D39+D38+D37+D36+D35+D34+D33+D31+D30+D29+D28+D27+D25+D24+D22)</f>
        <v>230056</v>
      </c>
      <c r="E40" s="118">
        <f>(E39+E38+E37+E36+E35+E34+E33+E31+E30+E29+E27+E28+E25+E24+E22+E21+E20+E19+E18+E17+E15+E14)+1750</f>
        <v>234700</v>
      </c>
    </row>
    <row r="41" spans="1:9" x14ac:dyDescent="0.3">
      <c r="A41" s="4"/>
      <c r="B41" s="1" t="s">
        <v>47</v>
      </c>
      <c r="C41" s="86">
        <f>SUM('reserves 2020'!H11)</f>
        <v>53531.805555555555</v>
      </c>
      <c r="D41" s="82">
        <f>929.17*12</f>
        <v>11150.039999999999</v>
      </c>
      <c r="E41" s="86">
        <f>'reserves 2021'!J12</f>
        <v>30742.105263157893</v>
      </c>
    </row>
    <row r="42" spans="1:9" x14ac:dyDescent="0.3">
      <c r="A42" s="4"/>
      <c r="B42" s="1" t="s">
        <v>124</v>
      </c>
      <c r="C42" s="86">
        <v>0</v>
      </c>
      <c r="D42" s="82">
        <v>561580</v>
      </c>
      <c r="E42" s="86"/>
    </row>
    <row r="43" spans="1:9" ht="16.2" thickBot="1" x14ac:dyDescent="0.35">
      <c r="A43" s="35"/>
      <c r="B43" s="1" t="s">
        <v>10</v>
      </c>
      <c r="C43" s="117">
        <v>63000</v>
      </c>
      <c r="D43" s="84">
        <f>57.1*92*12</f>
        <v>63038.399999999994</v>
      </c>
      <c r="E43" s="117">
        <v>0</v>
      </c>
      <c r="F43" s="79"/>
    </row>
    <row r="44" spans="1:9" x14ac:dyDescent="0.3">
      <c r="A44" s="178" t="s">
        <v>93</v>
      </c>
      <c r="B44" s="178"/>
      <c r="C44" s="67">
        <f>SUM(C40:C43)</f>
        <v>363468.80555555556</v>
      </c>
      <c r="D44" s="81">
        <f>SUM(D40:D43)</f>
        <v>865824.44000000006</v>
      </c>
      <c r="E44" s="67">
        <f>SUM(E40:E43)</f>
        <v>265442.10526315786</v>
      </c>
      <c r="F44" s="79"/>
    </row>
    <row r="45" spans="1:9" ht="16.2" thickBot="1" x14ac:dyDescent="0.35"/>
    <row r="46" spans="1:9" ht="57" customHeight="1" x14ac:dyDescent="0.3">
      <c r="A46" s="123"/>
      <c r="B46" s="53" t="s">
        <v>69</v>
      </c>
      <c r="C46" s="124" t="s">
        <v>68</v>
      </c>
      <c r="D46" s="125" t="s">
        <v>117</v>
      </c>
      <c r="E46" s="91" t="s">
        <v>129</v>
      </c>
      <c r="F46" s="131" t="s">
        <v>118</v>
      </c>
      <c r="G46" s="134"/>
    </row>
    <row r="47" spans="1:9" ht="52.8" x14ac:dyDescent="0.3">
      <c r="A47" s="126" t="s">
        <v>63</v>
      </c>
      <c r="B47" s="45" t="s">
        <v>87</v>
      </c>
      <c r="C47" s="46">
        <v>1.2E-2</v>
      </c>
      <c r="D47" s="129">
        <f>(E40*C47)/12</f>
        <v>234.70000000000002</v>
      </c>
      <c r="E47" s="127">
        <f>'reserves 2021'!I15</f>
        <v>26.718539473684217</v>
      </c>
      <c r="F47" s="132">
        <f>SUM(D47+E47)</f>
        <v>261.41853947368423</v>
      </c>
      <c r="G47" s="135"/>
      <c r="H47" s="79"/>
      <c r="I47" s="78">
        <f>D47*24*12</f>
        <v>67593.600000000006</v>
      </c>
    </row>
    <row r="48" spans="1:9" ht="75.75" customHeight="1" x14ac:dyDescent="0.3">
      <c r="A48" s="49" t="s">
        <v>64</v>
      </c>
      <c r="B48" s="45" t="s">
        <v>71</v>
      </c>
      <c r="C48" s="46">
        <v>8.0000000000000002E-3</v>
      </c>
      <c r="D48" s="129">
        <f>SUM(E40*C48)/12</f>
        <v>156.46666666666667</v>
      </c>
      <c r="E48" s="127">
        <f>'reserves 2021'!I16</f>
        <v>17.812359649122808</v>
      </c>
      <c r="F48" s="133">
        <f>D48+E48</f>
        <v>174.27902631578948</v>
      </c>
      <c r="G48" s="135"/>
      <c r="H48" s="79"/>
      <c r="I48" s="78">
        <f>D48*12*24</f>
        <v>45062.399999999994</v>
      </c>
    </row>
    <row r="49" spans="1:11" ht="52.8" x14ac:dyDescent="0.3">
      <c r="A49" s="49" t="s">
        <v>65</v>
      </c>
      <c r="B49" s="45" t="s">
        <v>72</v>
      </c>
      <c r="C49" s="46">
        <v>1.2999999999999999E-2</v>
      </c>
      <c r="D49" s="129">
        <f>SUM(E40*C49)/12</f>
        <v>254.25833333333333</v>
      </c>
      <c r="E49" s="127">
        <f>'reserves 2021'!I17</f>
        <v>28.945084429824561</v>
      </c>
      <c r="F49" s="133">
        <f>D49+E49</f>
        <v>283.20341776315786</v>
      </c>
      <c r="G49" s="135"/>
      <c r="H49" s="79"/>
      <c r="I49" s="78">
        <f>D49*12*24</f>
        <v>73226.399999999994</v>
      </c>
    </row>
    <row r="50" spans="1:11" ht="26.4" x14ac:dyDescent="0.3">
      <c r="A50" s="49" t="s">
        <v>66</v>
      </c>
      <c r="B50" s="45" t="s">
        <v>73</v>
      </c>
      <c r="C50" s="46">
        <v>1.0999999999999999E-2</v>
      </c>
      <c r="D50" s="129">
        <f>SUM(E40*C50)/12</f>
        <v>215.14166666666665</v>
      </c>
      <c r="E50" s="127">
        <f>'reserves 2021'!I18</f>
        <v>24.491994517543858</v>
      </c>
      <c r="F50" s="133">
        <f>D50+E50</f>
        <v>239.6336611842105</v>
      </c>
      <c r="G50" s="135"/>
      <c r="H50" s="79"/>
      <c r="I50" s="78">
        <f>D50*14*12</f>
        <v>36143.799999999996</v>
      </c>
    </row>
    <row r="51" spans="1:11" ht="15" thickBot="1" x14ac:dyDescent="0.35">
      <c r="A51" s="50" t="s">
        <v>67</v>
      </c>
      <c r="B51" s="51" t="s">
        <v>74</v>
      </c>
      <c r="C51" s="128">
        <v>8.9999999999999993E-3</v>
      </c>
      <c r="D51" s="130">
        <f>SUM(E40*C51)/12</f>
        <v>176.02499999999998</v>
      </c>
      <c r="E51" s="127">
        <f>'reserves 2021'!I19</f>
        <v>20.038904605263159</v>
      </c>
      <c r="F51" s="133">
        <f>D51+E51</f>
        <v>196.06390460526313</v>
      </c>
      <c r="G51" s="135"/>
      <c r="H51" s="79"/>
      <c r="I51" s="78">
        <f>D51*6*12</f>
        <v>12673.8</v>
      </c>
    </row>
    <row r="52" spans="1:11" x14ac:dyDescent="0.3">
      <c r="A52" s="4"/>
      <c r="B52" s="5"/>
      <c r="C52" s="6"/>
      <c r="I52" s="61"/>
      <c r="J52" s="79"/>
      <c r="K52" s="79">
        <f>SUM(I47:I51)</f>
        <v>234699.99999999997</v>
      </c>
    </row>
    <row r="53" spans="1:11" x14ac:dyDescent="0.3">
      <c r="C53" s="32"/>
      <c r="J53" s="79"/>
      <c r="K53" s="79">
        <f>K52-E43</f>
        <v>234699.99999999997</v>
      </c>
    </row>
    <row r="54" spans="1:11" x14ac:dyDescent="0.3">
      <c r="A54" s="1"/>
      <c r="C54" s="32"/>
    </row>
    <row r="55" spans="1:11" x14ac:dyDescent="0.3">
      <c r="C55" s="32"/>
    </row>
    <row r="56" spans="1:11" x14ac:dyDescent="0.3">
      <c r="A56" s="1"/>
      <c r="C56" s="32"/>
    </row>
    <row r="57" spans="1:11" x14ac:dyDescent="0.3">
      <c r="A57" s="1"/>
      <c r="C57" s="32"/>
    </row>
    <row r="58" spans="1:11" x14ac:dyDescent="0.3">
      <c r="A58" s="1"/>
    </row>
  </sheetData>
  <mergeCells count="2">
    <mergeCell ref="B1:E1"/>
    <mergeCell ref="A44:B44"/>
  </mergeCells>
  <pageMargins left="0" right="0" top="0" bottom="0" header="0.3" footer="0.3"/>
  <pageSetup scale="74" orientation="portrait" r:id="rId1"/>
  <headerFooter>
    <oddHeader xml:space="preserve">&amp;CCentre Hill Courts Condo
Budget for 2021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3F04-595B-ED40-96CD-3DBA9E109824}">
  <dimension ref="A1:P22"/>
  <sheetViews>
    <sheetView view="pageBreakPreview" topLeftCell="A5" zoomScale="86" zoomScaleNormal="100" zoomScaleSheetLayoutView="86" workbookViewId="0">
      <selection activeCell="J18" sqref="J18"/>
    </sheetView>
  </sheetViews>
  <sheetFormatPr defaultColWidth="9" defaultRowHeight="14.4" x14ac:dyDescent="0.3"/>
  <cols>
    <col min="1" max="1" width="17" bestFit="1" customWidth="1"/>
    <col min="2" max="2" width="11" bestFit="1" customWidth="1"/>
    <col min="3" max="3" width="16.44140625" bestFit="1" customWidth="1"/>
    <col min="4" max="4" width="15.44140625" bestFit="1" customWidth="1"/>
    <col min="5" max="5" width="12.21875" bestFit="1" customWidth="1"/>
    <col min="6" max="6" width="14.5546875" customWidth="1"/>
    <col min="7" max="7" width="16.21875" bestFit="1" customWidth="1"/>
    <col min="8" max="8" width="18.5546875" customWidth="1"/>
    <col min="9" max="9" width="16.21875" bestFit="1" customWidth="1"/>
    <col min="10" max="10" width="24.21875" bestFit="1" customWidth="1"/>
    <col min="11" max="11" width="15.5546875" customWidth="1"/>
    <col min="13" max="13" width="22.44140625" customWidth="1"/>
    <col min="15" max="15" width="12.44140625" bestFit="1" customWidth="1"/>
  </cols>
  <sheetData>
    <row r="1" spans="1:16" ht="22.8" x14ac:dyDescent="0.4">
      <c r="A1" s="162" t="s">
        <v>130</v>
      </c>
      <c r="B1" s="162"/>
      <c r="C1" s="162"/>
      <c r="D1" s="162"/>
      <c r="E1" s="162"/>
      <c r="F1" s="162"/>
      <c r="G1" s="162"/>
      <c r="H1" s="162"/>
      <c r="I1" s="162"/>
    </row>
    <row r="2" spans="1:16" ht="25.5" customHeight="1" thickBot="1" x14ac:dyDescent="0.35"/>
    <row r="3" spans="1:16" ht="15.6" x14ac:dyDescent="0.3">
      <c r="A3" s="7" t="s">
        <v>36</v>
      </c>
      <c r="B3" s="8" t="s">
        <v>37</v>
      </c>
      <c r="C3" s="8" t="s">
        <v>37</v>
      </c>
      <c r="D3" s="8" t="s">
        <v>38</v>
      </c>
      <c r="E3" s="9" t="s">
        <v>39</v>
      </c>
      <c r="F3" s="8" t="s">
        <v>40</v>
      </c>
      <c r="G3" s="8" t="s">
        <v>41</v>
      </c>
      <c r="H3" s="163" t="s">
        <v>42</v>
      </c>
      <c r="I3" s="164"/>
      <c r="J3" s="10" t="s">
        <v>42</v>
      </c>
      <c r="M3" s="11"/>
      <c r="N3" s="12"/>
    </row>
    <row r="4" spans="1:16" ht="15.6" x14ac:dyDescent="0.3">
      <c r="A4" s="13"/>
      <c r="B4" s="14" t="s">
        <v>43</v>
      </c>
      <c r="C4" s="14" t="s">
        <v>44</v>
      </c>
      <c r="D4" s="14" t="s">
        <v>45</v>
      </c>
      <c r="E4" s="15" t="s">
        <v>46</v>
      </c>
      <c r="F4" s="14" t="s">
        <v>47</v>
      </c>
      <c r="G4" s="14" t="s">
        <v>42</v>
      </c>
      <c r="H4" s="165" t="s">
        <v>111</v>
      </c>
      <c r="I4" s="166"/>
      <c r="J4" s="16" t="s">
        <v>127</v>
      </c>
      <c r="M4" s="11"/>
      <c r="N4" s="12"/>
    </row>
    <row r="5" spans="1:16" ht="15.6" x14ac:dyDescent="0.3">
      <c r="A5" s="13"/>
      <c r="B5" s="14"/>
      <c r="C5" s="14"/>
      <c r="D5" s="14"/>
      <c r="E5" s="15" t="s">
        <v>49</v>
      </c>
      <c r="F5" s="17">
        <v>44196</v>
      </c>
      <c r="G5" s="14" t="s">
        <v>50</v>
      </c>
      <c r="H5" s="165" t="s">
        <v>51</v>
      </c>
      <c r="I5" s="166"/>
      <c r="J5" s="16" t="s">
        <v>52</v>
      </c>
      <c r="M5" s="11"/>
      <c r="N5" s="12"/>
    </row>
    <row r="6" spans="1:16" ht="15.6" x14ac:dyDescent="0.3">
      <c r="A6" s="18" t="s">
        <v>53</v>
      </c>
      <c r="B6" s="19">
        <v>20</v>
      </c>
      <c r="C6" s="20">
        <v>650000</v>
      </c>
      <c r="D6" s="19">
        <v>19</v>
      </c>
      <c r="E6" s="21">
        <v>0.25</v>
      </c>
      <c r="F6" s="22">
        <f>SUM(F12*E6)</f>
        <v>23875</v>
      </c>
      <c r="G6" s="22">
        <f>SUM((C6-F6))</f>
        <v>626125</v>
      </c>
      <c r="H6" s="167">
        <f>SUM(G6/D6)</f>
        <v>32953.947368421053</v>
      </c>
      <c r="I6" s="168"/>
      <c r="J6" s="23">
        <f>C6/D6*0.2</f>
        <v>6842.105263157895</v>
      </c>
      <c r="M6" s="11"/>
      <c r="N6" s="12"/>
    </row>
    <row r="7" spans="1:16" ht="15.6" x14ac:dyDescent="0.3">
      <c r="A7" s="18" t="s">
        <v>107</v>
      </c>
      <c r="B7" s="19">
        <v>30</v>
      </c>
      <c r="C7" s="20">
        <v>500000</v>
      </c>
      <c r="D7" s="19">
        <v>30</v>
      </c>
      <c r="E7" s="21">
        <v>0.1</v>
      </c>
      <c r="F7" s="22">
        <f>SUM(F12*0.1)</f>
        <v>9550</v>
      </c>
      <c r="G7" s="22">
        <v>450000</v>
      </c>
      <c r="H7" s="167">
        <f>G7/50</f>
        <v>9000</v>
      </c>
      <c r="I7" s="168"/>
      <c r="J7" s="23">
        <f>H7*0.2</f>
        <v>1800</v>
      </c>
      <c r="M7" s="11"/>
      <c r="N7" s="12"/>
    </row>
    <row r="8" spans="1:16" ht="15.6" x14ac:dyDescent="0.3">
      <c r="A8" s="18" t="s">
        <v>58</v>
      </c>
      <c r="B8" s="19">
        <v>8</v>
      </c>
      <c r="C8" s="22">
        <v>50000</v>
      </c>
      <c r="D8" s="19">
        <v>5</v>
      </c>
      <c r="E8" s="21">
        <v>0.1</v>
      </c>
      <c r="F8" s="22">
        <f>SUM(F12*E8)</f>
        <v>9550</v>
      </c>
      <c r="G8" s="22">
        <f>SUM(C8-F8)</f>
        <v>40450</v>
      </c>
      <c r="H8" s="167">
        <f>SUM(G8/D8)</f>
        <v>8090</v>
      </c>
      <c r="I8" s="168"/>
      <c r="J8" s="23">
        <f>C8/D8*0.2</f>
        <v>2000</v>
      </c>
      <c r="M8" s="11"/>
      <c r="N8" s="12"/>
    </row>
    <row r="9" spans="1:16" ht="27" x14ac:dyDescent="0.3">
      <c r="A9" s="30" t="s">
        <v>59</v>
      </c>
      <c r="B9" s="19">
        <v>30</v>
      </c>
      <c r="C9" s="22">
        <v>150000</v>
      </c>
      <c r="D9" s="19">
        <v>20</v>
      </c>
      <c r="E9" s="21">
        <v>0.25</v>
      </c>
      <c r="F9" s="22">
        <f>SUM(F12*E9)</f>
        <v>23875</v>
      </c>
      <c r="G9" s="22">
        <f>SUM(C9-F9)</f>
        <v>126125</v>
      </c>
      <c r="H9" s="167">
        <f>SUM(G9/D9)</f>
        <v>6306.25</v>
      </c>
      <c r="I9" s="168"/>
      <c r="J9" s="23">
        <f>C9/D9*0.2</f>
        <v>1500</v>
      </c>
      <c r="M9" s="11"/>
      <c r="N9" s="12"/>
    </row>
    <row r="10" spans="1:16" ht="15.6" x14ac:dyDescent="0.3">
      <c r="A10" s="18" t="s">
        <v>54</v>
      </c>
      <c r="B10" s="19">
        <v>20</v>
      </c>
      <c r="C10" s="22">
        <v>80000</v>
      </c>
      <c r="D10" s="19">
        <v>10</v>
      </c>
      <c r="E10" s="21">
        <v>0.15</v>
      </c>
      <c r="F10" s="22">
        <f>SUM(F12*E10)</f>
        <v>14325</v>
      </c>
      <c r="G10" s="22">
        <f>SUM(C10-F10)</f>
        <v>65675</v>
      </c>
      <c r="H10" s="167">
        <f>SUM(G10/D10)</f>
        <v>6567.5</v>
      </c>
      <c r="I10" s="168"/>
      <c r="J10" s="24">
        <f>C10/D10*0.2</f>
        <v>1600</v>
      </c>
      <c r="M10" s="11" t="s">
        <v>104</v>
      </c>
      <c r="N10" s="12"/>
    </row>
    <row r="11" spans="1:16" x14ac:dyDescent="0.3">
      <c r="A11" s="18" t="s">
        <v>55</v>
      </c>
      <c r="B11" s="19">
        <v>8</v>
      </c>
      <c r="C11" s="22">
        <v>85000</v>
      </c>
      <c r="D11" s="19">
        <v>1</v>
      </c>
      <c r="E11" s="21">
        <v>0.15</v>
      </c>
      <c r="F11" s="22">
        <f>SUM(F12*E11)</f>
        <v>14325</v>
      </c>
      <c r="G11" s="22">
        <f>SUM(C11-F11)</f>
        <v>70675</v>
      </c>
      <c r="H11" s="167">
        <f>SUM(G11/D11)</f>
        <v>70675</v>
      </c>
      <c r="I11" s="168"/>
      <c r="J11" s="24">
        <f>C11/D11*0.2</f>
        <v>17000</v>
      </c>
      <c r="P11">
        <f>11150/12</f>
        <v>929.16666666666663</v>
      </c>
    </row>
    <row r="12" spans="1:16" ht="25.5" customHeight="1" thickBot="1" x14ac:dyDescent="0.35">
      <c r="A12" s="25" t="s">
        <v>56</v>
      </c>
      <c r="B12" s="26"/>
      <c r="C12" s="27">
        <f>SUM(C6:C11)</f>
        <v>1515000</v>
      </c>
      <c r="D12" s="26"/>
      <c r="E12" s="28">
        <f>SUM(E6:E11)</f>
        <v>1</v>
      </c>
      <c r="F12" s="112">
        <v>95500</v>
      </c>
      <c r="G12" s="27">
        <f>SUM(G6:G11)</f>
        <v>1379050</v>
      </c>
      <c r="H12" s="169">
        <f>SUM(H6:I11)</f>
        <v>133592.69736842107</v>
      </c>
      <c r="I12" s="170"/>
      <c r="J12" s="29">
        <f>SUM(J6:J11)</f>
        <v>30742.105263157893</v>
      </c>
      <c r="P12" t="s">
        <v>105</v>
      </c>
    </row>
    <row r="13" spans="1:16" ht="25.5" customHeight="1" x14ac:dyDescent="0.3">
      <c r="M13" s="79">
        <f>J12/12</f>
        <v>2561.8421052631579</v>
      </c>
    </row>
    <row r="14" spans="1:16" s="55" customFormat="1" ht="93.75" customHeight="1" x14ac:dyDescent="0.3">
      <c r="A14" s="113"/>
      <c r="B14" s="185" t="s">
        <v>69</v>
      </c>
      <c r="C14" s="185"/>
      <c r="D14" s="115" t="s">
        <v>68</v>
      </c>
      <c r="E14" s="186" t="s">
        <v>75</v>
      </c>
      <c r="F14" s="187"/>
      <c r="G14" s="115" t="s">
        <v>78</v>
      </c>
      <c r="H14" s="119" t="s">
        <v>76</v>
      </c>
      <c r="I14" s="115" t="s">
        <v>128</v>
      </c>
      <c r="J14" s="122" t="s">
        <v>126</v>
      </c>
    </row>
    <row r="15" spans="1:16" s="55" customFormat="1" ht="81.75" customHeight="1" x14ac:dyDescent="0.3">
      <c r="A15" s="113" t="s">
        <v>63</v>
      </c>
      <c r="B15" s="188" t="s">
        <v>87</v>
      </c>
      <c r="C15" s="188"/>
      <c r="D15" s="188"/>
      <c r="E15" s="113">
        <v>1.2E-2</v>
      </c>
      <c r="F15" s="114">
        <f>'budget 2021'!D47</f>
        <v>234.70000000000002</v>
      </c>
      <c r="G15" s="114">
        <f>SUM(H12*E15/12)</f>
        <v>133.59269736842109</v>
      </c>
      <c r="H15" s="121">
        <f>SUM(F15+G15+'budget 2019'!E42)</f>
        <v>422.16269736842111</v>
      </c>
      <c r="I15" s="114">
        <f>SUM(G15*0.2)</f>
        <v>26.718539473684217</v>
      </c>
      <c r="J15" s="120">
        <f>F15+I15</f>
        <v>261.41853947368423</v>
      </c>
      <c r="K15" s="137">
        <v>313.45</v>
      </c>
    </row>
    <row r="16" spans="1:16" s="55" customFormat="1" ht="60" customHeight="1" x14ac:dyDescent="0.3">
      <c r="A16" s="113" t="s">
        <v>64</v>
      </c>
      <c r="B16" s="188" t="s">
        <v>71</v>
      </c>
      <c r="C16" s="188"/>
      <c r="D16" s="188"/>
      <c r="E16" s="113">
        <v>8.0000000000000002E-3</v>
      </c>
      <c r="F16" s="114">
        <f>'budget 2021'!D48</f>
        <v>156.46666666666667</v>
      </c>
      <c r="G16" s="114">
        <f>SUM(H12*E16/12)</f>
        <v>89.061798245614042</v>
      </c>
      <c r="H16" s="121">
        <f>SUM(G16+F16+'budget 2019'!E43)</f>
        <v>299.3984649122807</v>
      </c>
      <c r="I16" s="114">
        <f>SUM(G16*0.2)</f>
        <v>17.812359649122808</v>
      </c>
      <c r="J16" s="120">
        <f>F16+I16</f>
        <v>174.27902631578948</v>
      </c>
      <c r="K16" s="137">
        <v>228.00333333333333</v>
      </c>
    </row>
    <row r="17" spans="1:12" s="55" customFormat="1" ht="54.75" customHeight="1" x14ac:dyDescent="0.35">
      <c r="A17" s="113" t="s">
        <v>65</v>
      </c>
      <c r="B17" s="188" t="s">
        <v>72</v>
      </c>
      <c r="C17" s="188"/>
      <c r="D17" s="188"/>
      <c r="E17" s="113">
        <v>1.2999999999999999E-2</v>
      </c>
      <c r="F17" s="114">
        <f>'budget 2021'!D49</f>
        <v>254.25833333333333</v>
      </c>
      <c r="G17" s="114">
        <f>SUM(H12*E17/12)</f>
        <v>144.72542214912281</v>
      </c>
      <c r="H17" s="121">
        <f>SUM(G17+F17+'budget 2019'!E44)</f>
        <v>452.85375548245611</v>
      </c>
      <c r="I17" s="114">
        <f>SUM(G17*0.2)</f>
        <v>28.945084429824561</v>
      </c>
      <c r="J17" s="120">
        <f>F17+I17</f>
        <v>283.20341776315786</v>
      </c>
      <c r="K17" s="137">
        <v>334.80916666666667</v>
      </c>
      <c r="L17" s="58"/>
    </row>
    <row r="18" spans="1:12" s="55" customFormat="1" ht="42" customHeight="1" x14ac:dyDescent="0.3">
      <c r="A18" s="113" t="s">
        <v>66</v>
      </c>
      <c r="B18" s="188" t="s">
        <v>73</v>
      </c>
      <c r="C18" s="188"/>
      <c r="D18" s="188"/>
      <c r="E18" s="113">
        <v>1.0999999999999999E-2</v>
      </c>
      <c r="F18" s="114">
        <f>'budget 2021'!D50</f>
        <v>215.14166666666665</v>
      </c>
      <c r="G18" s="114">
        <f>SUM(H12*E18/12)</f>
        <v>122.45997258771929</v>
      </c>
      <c r="H18" s="121">
        <f>SUM(G18+F18+'budget 2019'!E45)</f>
        <v>391.47163925438593</v>
      </c>
      <c r="I18" s="114">
        <f>SUM(G18*0.2)</f>
        <v>24.491994517543858</v>
      </c>
      <c r="J18" s="120" t="s">
        <v>126</v>
      </c>
      <c r="K18" s="137">
        <v>292.08083333333337</v>
      </c>
    </row>
    <row r="19" spans="1:12" s="55" customFormat="1" ht="33.75" customHeight="1" x14ac:dyDescent="0.3">
      <c r="A19" s="113" t="s">
        <v>67</v>
      </c>
      <c r="B19" s="188" t="s">
        <v>74</v>
      </c>
      <c r="C19" s="188"/>
      <c r="D19" s="188"/>
      <c r="E19" s="113">
        <v>8.9999999999999993E-3</v>
      </c>
      <c r="F19" s="114">
        <f>'budget 2021'!D51</f>
        <v>176.02499999999998</v>
      </c>
      <c r="G19" s="114">
        <f>SUM(H12*E19/12)</f>
        <v>100.19452302631579</v>
      </c>
      <c r="H19" s="121">
        <f>SUM(G19+F19+'budget 2019'!E46)</f>
        <v>330.08952302631576</v>
      </c>
      <c r="I19" s="114">
        <f>SUM(G19*0.2)</f>
        <v>20.038904605263159</v>
      </c>
      <c r="J19" s="120">
        <f>F19+I19</f>
        <v>196.06390460526313</v>
      </c>
      <c r="K19" s="137">
        <v>249.36250000000001</v>
      </c>
    </row>
    <row r="20" spans="1:12" ht="15" thickBot="1" x14ac:dyDescent="0.35"/>
    <row r="21" spans="1:12" ht="35.25" customHeight="1" x14ac:dyDescent="0.3">
      <c r="A21" s="179" t="s">
        <v>57</v>
      </c>
      <c r="B21" s="180"/>
      <c r="C21" s="180"/>
      <c r="D21" s="180"/>
      <c r="E21" s="180"/>
      <c r="F21" s="180"/>
      <c r="G21" s="180"/>
      <c r="H21" s="180"/>
      <c r="I21" s="180"/>
      <c r="J21" s="181"/>
    </row>
    <row r="22" spans="1:12" ht="56.1" customHeight="1" thickBot="1" x14ac:dyDescent="0.35">
      <c r="A22" s="182"/>
      <c r="B22" s="183"/>
      <c r="C22" s="183"/>
      <c r="D22" s="183"/>
      <c r="E22" s="183"/>
      <c r="F22" s="183"/>
      <c r="G22" s="183"/>
      <c r="H22" s="183"/>
      <c r="I22" s="183"/>
      <c r="J22" s="184"/>
    </row>
  </sheetData>
  <mergeCells count="19">
    <mergeCell ref="A21:J22"/>
    <mergeCell ref="H8:I8"/>
    <mergeCell ref="H9:I9"/>
    <mergeCell ref="H10:I10"/>
    <mergeCell ref="H11:I11"/>
    <mergeCell ref="H12:I12"/>
    <mergeCell ref="B14:C14"/>
    <mergeCell ref="E14:F14"/>
    <mergeCell ref="B15:D15"/>
    <mergeCell ref="B16:D16"/>
    <mergeCell ref="B17:D17"/>
    <mergeCell ref="B18:D18"/>
    <mergeCell ref="B19:D19"/>
    <mergeCell ref="H7:I7"/>
    <mergeCell ref="A1:I1"/>
    <mergeCell ref="H3:I3"/>
    <mergeCell ref="H4:I4"/>
    <mergeCell ref="H5:I5"/>
    <mergeCell ref="H6:I6"/>
  </mergeCells>
  <pageMargins left="0.25" right="0.25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loan 2</vt:lpstr>
      <vt:lpstr>budget 2019</vt:lpstr>
      <vt:lpstr>reserves 2019</vt:lpstr>
      <vt:lpstr>assessment 2020</vt:lpstr>
      <vt:lpstr>budget 2020</vt:lpstr>
      <vt:lpstr>reserves 2020</vt:lpstr>
      <vt:lpstr>reserves as of 52020</vt:lpstr>
      <vt:lpstr>budget 2021</vt:lpstr>
      <vt:lpstr>reserves 2021</vt:lpstr>
      <vt:lpstr>budget 2022</vt:lpstr>
      <vt:lpstr>reserves 2022</vt:lpstr>
      <vt:lpstr>2022 assessment</vt:lpstr>
      <vt:lpstr>reserves 2022 (2)</vt:lpstr>
      <vt:lpstr>assessment 2022 loan</vt:lpstr>
      <vt:lpstr>budget 2024</vt:lpstr>
      <vt:lpstr>reserves 2024</vt:lpstr>
      <vt:lpstr>reserves 2024 (2)</vt:lpstr>
      <vt:lpstr>'2022 assessment'!Print_Area</vt:lpstr>
      <vt:lpstr>'assessment 2020'!Print_Area</vt:lpstr>
      <vt:lpstr>'assessment 2022 loan'!Print_Area</vt:lpstr>
      <vt:lpstr>'budget 2019'!Print_Area</vt:lpstr>
      <vt:lpstr>'budget 2020'!Print_Area</vt:lpstr>
      <vt:lpstr>'budget 2021'!Print_Area</vt:lpstr>
      <vt:lpstr>'budget 2022'!Print_Area</vt:lpstr>
      <vt:lpstr>'budget 2024'!Print_Area</vt:lpstr>
      <vt:lpstr>'loan 2'!Print_Area</vt:lpstr>
      <vt:lpstr>'reserves 2019'!Print_Area</vt:lpstr>
      <vt:lpstr>'reserves 2020'!Print_Area</vt:lpstr>
      <vt:lpstr>'reserves 2021'!Print_Area</vt:lpstr>
      <vt:lpstr>'reserves 2022'!Print_Area</vt:lpstr>
      <vt:lpstr>'reserves 2022 (2)'!Print_Area</vt:lpstr>
      <vt:lpstr>'reserves 2024'!Print_Area</vt:lpstr>
      <vt:lpstr>'reserves 2024 (2)'!Print_Area</vt:lpstr>
      <vt:lpstr>'reserves as of 52020'!Print_Area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jamie blum</cp:lastModifiedBy>
  <cp:lastPrinted>2023-11-10T23:20:35Z</cp:lastPrinted>
  <dcterms:created xsi:type="dcterms:W3CDTF">2017-08-20T12:46:12Z</dcterms:created>
  <dcterms:modified xsi:type="dcterms:W3CDTF">2024-10-11T15:47:19Z</dcterms:modified>
</cp:coreProperties>
</file>