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B38F9192-421C-41AC-99AF-A88E15D15396}" xr6:coauthVersionLast="47" xr6:coauthVersionMax="47" xr10:uidLastSave="{00000000-0000-0000-0000-000000000000}"/>
  <bookViews>
    <workbookView xWindow="-108" yWindow="-108" windowWidth="23256" windowHeight="13896" firstSheet="5" activeTab="5" xr2:uid="{BBD8DFB2-4642-4EDE-A012-1A51B657217D}"/>
  </bookViews>
  <sheets>
    <sheet name="1. Budget 2022" sheetId="1" r:id="rId1"/>
    <sheet name="reserves 2022" sheetId="2" r:id="rId2"/>
    <sheet name="1. Budget 2023" sheetId="3" r:id="rId3"/>
    <sheet name="reserves 2023" sheetId="4" r:id="rId4"/>
    <sheet name="1. Budget revised 2023 (2)" sheetId="5" r:id="rId5"/>
    <sheet name="1. Budget 2024" sheetId="6" r:id="rId6"/>
    <sheet name="reserves 2024" sheetId="7" r:id="rId7"/>
  </sheets>
  <definedNames>
    <definedName name="_xlnm.Print_Area" localSheetId="0">'1. Budget 2022'!$A$1:$G$54</definedName>
    <definedName name="_xlnm.Print_Area" localSheetId="2">'1. Budget 2023'!$A$1:$G$54</definedName>
    <definedName name="_xlnm.Print_Area" localSheetId="5">'1. Budget 2024'!$A$1:$G$54</definedName>
    <definedName name="_xlnm.Print_Area" localSheetId="4">'1. Budget revised 2023 (2)'!$A$1:$G$54</definedName>
    <definedName name="_xlnm.Print_Titles" localSheetId="0">'1. Budget 2022'!$2:$3</definedName>
    <definedName name="_xlnm.Print_Titles" localSheetId="2">'1. Budget 2023'!$2:$3</definedName>
    <definedName name="_xlnm.Print_Titles" localSheetId="5">'1. Budget 2024'!$2:$3</definedName>
    <definedName name="_xlnm.Print_Titles" localSheetId="4">'1. Budget revised 2023 (2)'!$2:$3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6" l="1" a="1"/>
  <c r="I16" i="6" s="1"/>
  <c r="F65" i="6"/>
  <c r="F63" i="6"/>
  <c r="F62" i="6"/>
  <c r="I59" i="6"/>
  <c r="I57" i="6"/>
  <c r="I56" i="6"/>
  <c r="H56" i="6"/>
  <c r="H58" i="6"/>
  <c r="D62" i="6"/>
  <c r="F59" i="6"/>
  <c r="K8" i="6"/>
  <c r="I8" i="6"/>
  <c r="F9" i="6"/>
  <c r="F46" i="6"/>
  <c r="F36" i="6"/>
  <c r="J16" i="7"/>
  <c r="H16" i="7"/>
  <c r="E16" i="7"/>
  <c r="J9" i="7"/>
  <c r="I9" i="7"/>
  <c r="H9" i="7"/>
  <c r="G9" i="7"/>
  <c r="B43" i="6"/>
  <c r="B18" i="6"/>
  <c r="B13" i="6"/>
  <c r="B9" i="6"/>
  <c r="E12" i="7"/>
  <c r="C12" i="7"/>
  <c r="I11" i="7"/>
  <c r="H11" i="7"/>
  <c r="G11" i="7"/>
  <c r="J11" i="7" s="1"/>
  <c r="I10" i="7"/>
  <c r="H10" i="7"/>
  <c r="G10" i="7"/>
  <c r="J10" i="7" s="1"/>
  <c r="I8" i="7"/>
  <c r="H8" i="7"/>
  <c r="J8" i="7" s="1"/>
  <c r="I7" i="7"/>
  <c r="H7" i="7"/>
  <c r="J7" i="7" s="1"/>
  <c r="G7" i="7"/>
  <c r="I6" i="7"/>
  <c r="H6" i="7"/>
  <c r="G6" i="7"/>
  <c r="L50" i="6"/>
  <c r="L49" i="6"/>
  <c r="L51" i="6" s="1"/>
  <c r="D47" i="6"/>
  <c r="B47" i="6"/>
  <c r="N46" i="6"/>
  <c r="J46" i="6"/>
  <c r="G45" i="6"/>
  <c r="G44" i="6"/>
  <c r="G43" i="6"/>
  <c r="F43" i="6"/>
  <c r="G42" i="6"/>
  <c r="G41" i="6"/>
  <c r="G40" i="6"/>
  <c r="G39" i="6"/>
  <c r="G38" i="6"/>
  <c r="D36" i="6"/>
  <c r="B36" i="6"/>
  <c r="G35" i="6"/>
  <c r="G34" i="6"/>
  <c r="G33" i="6"/>
  <c r="F31" i="6"/>
  <c r="L30" i="6"/>
  <c r="G30" i="6"/>
  <c r="L29" i="6"/>
  <c r="L31" i="6" s="1"/>
  <c r="G29" i="6"/>
  <c r="G28" i="6"/>
  <c r="G27" i="6"/>
  <c r="G26" i="6"/>
  <c r="Q25" i="6"/>
  <c r="G25" i="6"/>
  <c r="D31" i="6"/>
  <c r="Q23" i="6"/>
  <c r="G23" i="6"/>
  <c r="B21" i="6"/>
  <c r="G20" i="6"/>
  <c r="G19" i="6"/>
  <c r="H18" i="6"/>
  <c r="G18" i="6"/>
  <c r="L17" i="6"/>
  <c r="G17" i="6"/>
  <c r="G16" i="6"/>
  <c r="G15" i="6"/>
  <c r="G14" i="6"/>
  <c r="F13" i="6"/>
  <c r="F21" i="6" s="1"/>
  <c r="D13" i="6"/>
  <c r="J12" i="6"/>
  <c r="G9" i="6"/>
  <c r="D11" i="6"/>
  <c r="L31" i="5"/>
  <c r="L30" i="5"/>
  <c r="L29" i="5"/>
  <c r="F18" i="5"/>
  <c r="Q23" i="5"/>
  <c r="Q25" i="5"/>
  <c r="L51" i="5"/>
  <c r="L50" i="5"/>
  <c r="L49" i="5"/>
  <c r="J46" i="5"/>
  <c r="J12" i="5"/>
  <c r="K28" i="3"/>
  <c r="K27" i="3"/>
  <c r="J33" i="3"/>
  <c r="I32" i="3"/>
  <c r="K23" i="3"/>
  <c r="L22" i="3"/>
  <c r="K22" i="3"/>
  <c r="I22" i="3"/>
  <c r="I28" i="3"/>
  <c r="I27" i="3"/>
  <c r="D47" i="5"/>
  <c r="B47" i="5"/>
  <c r="N46" i="5"/>
  <c r="G45" i="5"/>
  <c r="G44" i="5"/>
  <c r="G43" i="5"/>
  <c r="F43" i="5"/>
  <c r="F47" i="5" s="1"/>
  <c r="G42" i="5"/>
  <c r="G41" i="5"/>
  <c r="G40" i="5"/>
  <c r="G39" i="5"/>
  <c r="G38" i="5"/>
  <c r="F36" i="5"/>
  <c r="D36" i="5"/>
  <c r="B36" i="5"/>
  <c r="G35" i="5"/>
  <c r="G34" i="5"/>
  <c r="G33" i="5"/>
  <c r="F31" i="5"/>
  <c r="B31" i="5"/>
  <c r="G30" i="5"/>
  <c r="G29" i="5"/>
  <c r="G28" i="5"/>
  <c r="G27" i="5"/>
  <c r="G26" i="5"/>
  <c r="G25" i="5"/>
  <c r="D24" i="5"/>
  <c r="G24" i="5" s="1"/>
  <c r="B24" i="5"/>
  <c r="G23" i="5"/>
  <c r="F21" i="5"/>
  <c r="F48" i="5" s="1"/>
  <c r="B21" i="5"/>
  <c r="B48" i="5" s="1"/>
  <c r="G20" i="5"/>
  <c r="G19" i="5"/>
  <c r="H18" i="5"/>
  <c r="I18" i="5" s="1"/>
  <c r="I19" i="5" s="1"/>
  <c r="G18" i="5"/>
  <c r="L17" i="5"/>
  <c r="G17" i="5"/>
  <c r="G16" i="5"/>
  <c r="G15" i="5"/>
  <c r="G14" i="5"/>
  <c r="F13" i="5"/>
  <c r="D13" i="5"/>
  <c r="G13" i="5" s="1"/>
  <c r="G9" i="5"/>
  <c r="F9" i="5"/>
  <c r="B9" i="5"/>
  <c r="D6" i="5"/>
  <c r="D11" i="5" s="1"/>
  <c r="I19" i="3"/>
  <c r="I18" i="3"/>
  <c r="H18" i="3"/>
  <c r="J6" i="4"/>
  <c r="J7" i="4"/>
  <c r="J8" i="4"/>
  <c r="J9" i="4"/>
  <c r="J10" i="4"/>
  <c r="H6" i="4"/>
  <c r="H11" i="4" s="1"/>
  <c r="D48" i="3"/>
  <c r="B48" i="3"/>
  <c r="F47" i="3"/>
  <c r="D47" i="3"/>
  <c r="B47" i="3"/>
  <c r="F36" i="3"/>
  <c r="D36" i="3"/>
  <c r="B36" i="3"/>
  <c r="F31" i="3"/>
  <c r="D31" i="3"/>
  <c r="B31" i="3"/>
  <c r="D11" i="3"/>
  <c r="F21" i="3"/>
  <c r="D21" i="3"/>
  <c r="B21" i="3"/>
  <c r="F43" i="3"/>
  <c r="D13" i="3"/>
  <c r="D24" i="3"/>
  <c r="D6" i="3"/>
  <c r="E11" i="4"/>
  <c r="C11" i="4"/>
  <c r="I10" i="4"/>
  <c r="H10" i="4"/>
  <c r="G10" i="4"/>
  <c r="I9" i="4"/>
  <c r="H9" i="4"/>
  <c r="G9" i="4"/>
  <c r="I8" i="4"/>
  <c r="H8" i="4"/>
  <c r="I7" i="4"/>
  <c r="H7" i="4"/>
  <c r="G7" i="4"/>
  <c r="I6" i="4"/>
  <c r="G6" i="4"/>
  <c r="G11" i="4" s="1"/>
  <c r="N46" i="3"/>
  <c r="G45" i="3"/>
  <c r="G44" i="3"/>
  <c r="G43" i="3"/>
  <c r="G42" i="3"/>
  <c r="G41" i="3"/>
  <c r="G40" i="3"/>
  <c r="G39" i="3"/>
  <c r="G38" i="3"/>
  <c r="G35" i="3"/>
  <c r="G34" i="3"/>
  <c r="G33" i="3"/>
  <c r="G30" i="3"/>
  <c r="G29" i="3"/>
  <c r="G28" i="3"/>
  <c r="G27" i="3"/>
  <c r="G26" i="3"/>
  <c r="G25" i="3"/>
  <c r="B24" i="3"/>
  <c r="G23" i="3"/>
  <c r="G20" i="3"/>
  <c r="G19" i="3"/>
  <c r="G18" i="3"/>
  <c r="L17" i="3"/>
  <c r="G17" i="3"/>
  <c r="G16" i="3"/>
  <c r="G15" i="3"/>
  <c r="G14" i="3"/>
  <c r="F13" i="3"/>
  <c r="G9" i="3"/>
  <c r="F9" i="3"/>
  <c r="B9" i="3"/>
  <c r="L17" i="1"/>
  <c r="F47" i="6" l="1"/>
  <c r="F48" i="6" s="1"/>
  <c r="J30" i="6" s="1"/>
  <c r="G12" i="7"/>
  <c r="I12" i="7"/>
  <c r="I16" i="7" s="1"/>
  <c r="H12" i="7"/>
  <c r="F24" i="7" s="1"/>
  <c r="J6" i="7"/>
  <c r="J12" i="7" s="1"/>
  <c r="K16" i="7" s="1"/>
  <c r="D21" i="6"/>
  <c r="D48" i="6" s="1"/>
  <c r="G13" i="6"/>
  <c r="I18" i="6"/>
  <c r="I19" i="6" s="1"/>
  <c r="B31" i="6"/>
  <c r="B48" i="6" s="1"/>
  <c r="B6" i="6" s="1"/>
  <c r="G24" i="6"/>
  <c r="B6" i="5"/>
  <c r="F6" i="5"/>
  <c r="F11" i="5" s="1"/>
  <c r="I11" i="5" s="1"/>
  <c r="D21" i="5"/>
  <c r="D31" i="5"/>
  <c r="F48" i="3"/>
  <c r="J11" i="4"/>
  <c r="J15" i="4" s="1"/>
  <c r="E15" i="4"/>
  <c r="F23" i="4" s="1"/>
  <c r="I11" i="4"/>
  <c r="H15" i="4" s="1"/>
  <c r="F6" i="3"/>
  <c r="F11" i="3" s="1"/>
  <c r="B54" i="3"/>
  <c r="B15" i="4" s="1"/>
  <c r="G13" i="3"/>
  <c r="G24" i="3"/>
  <c r="F42" i="1"/>
  <c r="F34" i="1"/>
  <c r="F33" i="1"/>
  <c r="F29" i="1"/>
  <c r="F26" i="1"/>
  <c r="F18" i="1"/>
  <c r="F13" i="1"/>
  <c r="F9" i="1"/>
  <c r="F11" i="1" s="1"/>
  <c r="G9" i="1"/>
  <c r="G14" i="1"/>
  <c r="G15" i="1"/>
  <c r="G16" i="1"/>
  <c r="G17" i="1"/>
  <c r="G18" i="1"/>
  <c r="G19" i="1"/>
  <c r="G20" i="1"/>
  <c r="G23" i="1"/>
  <c r="G25" i="1"/>
  <c r="G26" i="1"/>
  <c r="G27" i="1"/>
  <c r="G28" i="1"/>
  <c r="G29" i="1"/>
  <c r="G30" i="1"/>
  <c r="G33" i="1"/>
  <c r="G34" i="1"/>
  <c r="G35" i="1"/>
  <c r="G38" i="1"/>
  <c r="G39" i="1"/>
  <c r="G40" i="1"/>
  <c r="G41" i="1"/>
  <c r="G42" i="1"/>
  <c r="G43" i="1"/>
  <c r="G44" i="1"/>
  <c r="G45" i="1"/>
  <c r="D13" i="1"/>
  <c r="N46" i="1"/>
  <c r="F11" i="2"/>
  <c r="E11" i="2"/>
  <c r="C11" i="2"/>
  <c r="I10" i="2"/>
  <c r="H10" i="2"/>
  <c r="G10" i="2"/>
  <c r="I9" i="2"/>
  <c r="H9" i="2"/>
  <c r="G9" i="2"/>
  <c r="I8" i="2"/>
  <c r="I11" i="2" s="1"/>
  <c r="H15" i="2" s="1"/>
  <c r="H8" i="2"/>
  <c r="H11" i="2" s="1"/>
  <c r="E15" i="2" s="1"/>
  <c r="I7" i="2"/>
  <c r="H7" i="2"/>
  <c r="G7" i="2"/>
  <c r="I6" i="2"/>
  <c r="H6" i="2"/>
  <c r="G6" i="2"/>
  <c r="D46" i="1"/>
  <c r="B9" i="1"/>
  <c r="B24" i="1"/>
  <c r="G24" i="1" s="1"/>
  <c r="B48" i="1"/>
  <c r="B54" i="1" s="1"/>
  <c r="B15" i="2" s="1"/>
  <c r="G11" i="2"/>
  <c r="F6" i="6" l="1"/>
  <c r="F11" i="6" s="1"/>
  <c r="I11" i="6" s="1"/>
  <c r="G16" i="7"/>
  <c r="G48" i="6"/>
  <c r="B11" i="5"/>
  <c r="G6" i="5"/>
  <c r="D48" i="5"/>
  <c r="G48" i="5" s="1"/>
  <c r="K15" i="4"/>
  <c r="I15" i="4"/>
  <c r="G15" i="4"/>
  <c r="G48" i="3"/>
  <c r="B6" i="3"/>
  <c r="B11" i="3" s="1"/>
  <c r="D48" i="1"/>
  <c r="D6" i="1" s="1"/>
  <c r="D11" i="1" s="1"/>
  <c r="B6" i="1"/>
  <c r="G13" i="1"/>
  <c r="I15" i="2"/>
  <c r="G15" i="2"/>
  <c r="F48" i="1"/>
  <c r="B11" i="6" l="1"/>
  <c r="G6" i="6"/>
  <c r="G6" i="3"/>
  <c r="G6" i="1"/>
  <c r="G48" i="1"/>
  <c r="B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<sst xmlns="http://schemas.openxmlformats.org/spreadsheetml/2006/main" count="356" uniqueCount="113">
  <si>
    <t>Qtr PMTS</t>
  </si>
  <si>
    <t>Number of Units</t>
  </si>
  <si>
    <t>TOTAL EXPENSES</t>
  </si>
  <si>
    <t>TOTAL MAINTENANCE EXPENSES</t>
  </si>
  <si>
    <t>Assessment Repayment</t>
  </si>
  <si>
    <t>Plumbing Expense</t>
  </si>
  <si>
    <t>Contingency</t>
  </si>
  <si>
    <t>Water Tower Treatment</t>
  </si>
  <si>
    <t>AC Tower Monthly</t>
  </si>
  <si>
    <t>AC Tower Repairs</t>
  </si>
  <si>
    <t>Repairs &amp; Maintenance</t>
  </si>
  <si>
    <t>Fire Equipment &amp; Inspection</t>
  </si>
  <si>
    <t>Maintenance Supplies</t>
  </si>
  <si>
    <t>MAINTENANCE</t>
  </si>
  <si>
    <t>TOTAL UTILITES EXPENSES</t>
  </si>
  <si>
    <t>Telephone</t>
  </si>
  <si>
    <t>Water &amp; Sewer</t>
  </si>
  <si>
    <t>Electricity</t>
  </si>
  <si>
    <t>UTILITIES:</t>
  </si>
  <si>
    <t>TOTAL CONTRACT EXPENSES</t>
  </si>
  <si>
    <t>Fountain</t>
  </si>
  <si>
    <t>Pest Control/Fertilization</t>
  </si>
  <si>
    <t>Irrigation</t>
  </si>
  <si>
    <t>Tree Trimming</t>
  </si>
  <si>
    <t>Elevator Contract</t>
  </si>
  <si>
    <t>Elevator Expense</t>
  </si>
  <si>
    <t>Janitorial Services</t>
  </si>
  <si>
    <t>Lawn Maintenance</t>
  </si>
  <si>
    <t>CONTRACTS:</t>
  </si>
  <si>
    <t>TOTAL GEN. &amp; ADMIN. EXPENSES</t>
  </si>
  <si>
    <t>Postage</t>
  </si>
  <si>
    <t>Administrative/Office Expense</t>
  </si>
  <si>
    <t>Insurance</t>
  </si>
  <si>
    <t>Bank Charges/Interests</t>
  </si>
  <si>
    <t>Licences/Fees/Permits</t>
  </si>
  <si>
    <t>Legal Fees</t>
  </si>
  <si>
    <t>Accounting Fees</t>
  </si>
  <si>
    <t>Management Fees</t>
  </si>
  <si>
    <t>GEN. &amp; ADMIN. EXPENSES:</t>
  </si>
  <si>
    <t>TOTAL REVENUE</t>
  </si>
  <si>
    <t>Interest Income- Investments</t>
  </si>
  <si>
    <t>Assessment Income (6yr loan)</t>
  </si>
  <si>
    <t>Laundry Income</t>
  </si>
  <si>
    <t>Late Fee Income</t>
  </si>
  <si>
    <t>Maintenance Assess Income</t>
  </si>
  <si>
    <t>REVENUE</t>
  </si>
  <si>
    <t>BUDGET</t>
  </si>
  <si>
    <t>Approved</t>
  </si>
  <si>
    <t>Qtr PMT Per Unit</t>
  </si>
  <si>
    <t>Boca Capri Budget 2022
January 1, 2022 to December 31, 2022</t>
  </si>
  <si>
    <t>Variance</t>
  </si>
  <si>
    <t>2022  MAINTENANCE ASSESSMENT</t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</si>
  <si>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</si>
  <si>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</si>
  <si>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</si>
  <si>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</si>
  <si>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</si>
  <si>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</si>
  <si>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</si>
  <si>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</si>
  <si>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</si>
  <si>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</si>
  <si>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</si>
  <si>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</si>
  <si>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</si>
  <si>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</si>
  <si>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</si>
  <si>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</si>
  <si>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</si>
  <si>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Elevator</t>
  </si>
  <si>
    <t>Electrical Repairs</t>
  </si>
  <si>
    <t>Parking lot</t>
  </si>
  <si>
    <t>Paint</t>
  </si>
  <si>
    <t>Total</t>
  </si>
  <si>
    <t>Maintenance Fee Without Reserve</t>
  </si>
  <si>
    <t>Maintenance Fee With Reserve</t>
  </si>
  <si>
    <t>24 Units</t>
  </si>
  <si>
    <t>Quarterly</t>
  </si>
  <si>
    <t>Full Reserves Quarterly Cost</t>
  </si>
  <si>
    <t>Quarterly Fee</t>
  </si>
  <si>
    <t>Partial with Maint.</t>
  </si>
  <si>
    <t>*The Florida Statues require the Board of Directors to adopt a budget with full reserves.  The unit owners at a duly called meeting, may vote against the funding of full reserves or may opt to vot for reserves "less than adequate". (Partial Reserves)</t>
  </si>
  <si>
    <t>Reserves for 2022</t>
  </si>
  <si>
    <t>2022 Budget</t>
  </si>
  <si>
    <t>2022 Budget - 40%</t>
  </si>
  <si>
    <t>Estimated Expense</t>
  </si>
  <si>
    <t>Budget</t>
  </si>
  <si>
    <t>Proposed</t>
  </si>
  <si>
    <t>Boca Capri Budget 2023
January 1, 2023 to December 31, 2023</t>
  </si>
  <si>
    <t>Reserves for 2023</t>
  </si>
  <si>
    <t>2023 Budget</t>
  </si>
  <si>
    <t>2023 Budget - 40%</t>
  </si>
  <si>
    <t>changed from $200,000</t>
  </si>
  <si>
    <t>changed %</t>
  </si>
  <si>
    <t>2023 Budget - 20%</t>
  </si>
  <si>
    <t>Partial Reserves
40%</t>
  </si>
  <si>
    <t>Partial Reserves
20%</t>
  </si>
  <si>
    <t>ADDED 20%</t>
  </si>
  <si>
    <t>Boca Capri Budget 2023
January 1, 2023 to December 31, 2023 Amended Budget 062023</t>
  </si>
  <si>
    <t>Monthy Payments</t>
  </si>
  <si>
    <t>Monthly Payments with no reserves</t>
  </si>
  <si>
    <t>Approved Amended</t>
  </si>
  <si>
    <t>2023  MAINTENANCE ASSESSMENT</t>
  </si>
  <si>
    <t>Boca Capri Budget 2024
January 1, 2024 to December 31, 2024</t>
  </si>
  <si>
    <t>(amended)</t>
  </si>
  <si>
    <t>Reserves for 2024</t>
  </si>
  <si>
    <t>2024 Budget</t>
  </si>
  <si>
    <t>2024 Budget - 40%</t>
  </si>
  <si>
    <t>2024 Budget - 20%</t>
  </si>
  <si>
    <t>Concrete</t>
  </si>
  <si>
    <t>Full Reserves Monthly Cost</t>
  </si>
  <si>
    <t>Monthly Quarterly Fee</t>
  </si>
  <si>
    <t>2024  MAINTENANCE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</si>
</sst>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&quot;$&quot;#,##0"/>
  </numFmts>
  <fonts count="9" x14ac:knownFonts="1"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43" fontId="2" fillId="0" borderId="0" xfId="1" applyFont="1"/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indent="2"/>
    </xf>
    <xf numFmtId="49" fontId="3" fillId="0" borderId="2" xfId="0" applyNumberFormat="1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2" fillId="2" borderId="2" xfId="0" applyFont="1" applyFill="1" applyBorder="1"/>
    <xf numFmtId="49" fontId="2" fillId="2" borderId="1" xfId="0" applyNumberFormat="1" applyFont="1" applyFill="1" applyBorder="1" applyAlignment="1">
      <alignment horizontal="left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6" fillId="0" borderId="0" xfId="0" applyNumberFormat="1" applyFont="1" applyAlignment="1">
      <alignment horizontal="left" indent="2"/>
    </xf>
    <xf numFmtId="37" fontId="6" fillId="0" borderId="0" xfId="0" applyNumberFormat="1" applyFont="1"/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164" fontId="3" fillId="4" borderId="10" xfId="0" applyNumberFormat="1" applyFont="1" applyFill="1" applyBorder="1" applyAlignment="1">
      <alignment horizontal="center"/>
    </xf>
    <xf numFmtId="10" fontId="3" fillId="4" borderId="10" xfId="0" applyNumberFormat="1" applyFont="1" applyFill="1" applyBorder="1" applyAlignment="1">
      <alignment horizontal="center"/>
    </xf>
    <xf numFmtId="164" fontId="3" fillId="4" borderId="11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" fontId="0" fillId="0" borderId="15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1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/>
    </xf>
    <xf numFmtId="43" fontId="2" fillId="0" borderId="2" xfId="1" applyFont="1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left"/>
    </xf>
    <xf numFmtId="164" fontId="3" fillId="0" borderId="2" xfId="0" applyNumberFormat="1" applyFont="1" applyBorder="1"/>
    <xf numFmtId="164" fontId="3" fillId="0" borderId="2" xfId="1" applyNumberFormat="1" applyFont="1" applyFill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 vertical="center"/>
    </xf>
    <xf numFmtId="164" fontId="0" fillId="0" borderId="0" xfId="0" applyNumberFormat="1"/>
    <xf numFmtId="165" fontId="0" fillId="0" borderId="15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8" fillId="5" borderId="2" xfId="0" applyNumberFormat="1" applyFont="1" applyFill="1" applyBorder="1" applyAlignment="1">
      <alignment horizontal="center"/>
    </xf>
    <xf numFmtId="10" fontId="0" fillId="5" borderId="2" xfId="0" applyNumberFormat="1" applyFill="1" applyBorder="1" applyAlignment="1">
      <alignment horizontal="center"/>
    </xf>
    <xf numFmtId="0" fontId="0" fillId="0" borderId="2" xfId="0" applyBorder="1"/>
    <xf numFmtId="164" fontId="3" fillId="5" borderId="11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2" fillId="2" borderId="1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8" fontId="5" fillId="0" borderId="15" xfId="0" applyNumberFormat="1" applyFont="1" applyBorder="1" applyAlignment="1">
      <alignment horizontal="center"/>
    </xf>
    <xf numFmtId="8" fontId="5" fillId="0" borderId="16" xfId="0" applyNumberFormat="1" applyFont="1" applyBorder="1" applyAlignment="1">
      <alignment horizontal="center"/>
    </xf>
    <xf numFmtId="8" fontId="5" fillId="0" borderId="17" xfId="0" applyNumberFormat="1" applyFont="1" applyBorder="1" applyAlignment="1">
      <alignment horizontal="center"/>
    </xf>
    <xf numFmtId="8" fontId="5" fillId="0" borderId="2" xfId="0" applyNumberFormat="1" applyFont="1" applyBorder="1" applyAlignment="1">
      <alignment horizontal="center" wrapText="1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1" fontId="2" fillId="0" borderId="15" xfId="1" applyNumberFormat="1" applyFont="1" applyBorder="1" applyAlignment="1">
      <alignment horizontal="center"/>
    </xf>
    <xf numFmtId="41" fontId="2" fillId="0" borderId="16" xfId="1" applyNumberFormat="1" applyFont="1" applyBorder="1" applyAlignment="1">
      <alignment horizontal="center"/>
    </xf>
    <xf numFmtId="41" fontId="2" fillId="0" borderId="17" xfId="1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7533-228B-424A-B9B2-5DD6A7F69E19}">
  <dimension ref="A1:N54"/>
  <sheetViews>
    <sheetView zoomScaleNormal="100" workbookViewId="0">
      <selection activeCell="B2" sqref="B2"/>
    </sheetView>
  </sheetViews>
  <sheetFormatPr defaultColWidth="9" defaultRowHeight="13.2" x14ac:dyDescent="0.25"/>
  <cols>
    <col min="1" max="1" width="42.875" style="2" bestFit="1" customWidth="1"/>
    <col min="2" max="2" width="12.25" style="1" bestFit="1" customWidth="1"/>
    <col min="3" max="3" width="2" style="1" customWidth="1"/>
    <col min="4" max="4" width="12.25" style="1" bestFit="1" customWidth="1"/>
    <col min="5" max="5" width="2" style="1" customWidth="1"/>
    <col min="6" max="6" width="19.125" style="1" bestFit="1" customWidth="1"/>
    <col min="7" max="7" width="11.875" style="1" bestFit="1" customWidth="1"/>
    <col min="8" max="16384" width="9" style="1"/>
  </cols>
  <sheetData>
    <row r="1" spans="1:7" ht="26.1" customHeight="1" x14ac:dyDescent="0.25">
      <c r="A1" s="64" t="s">
        <v>49</v>
      </c>
      <c r="B1" s="64"/>
      <c r="C1" s="64"/>
      <c r="D1" s="64"/>
      <c r="E1" s="64"/>
      <c r="F1" s="64"/>
      <c r="G1" s="64"/>
    </row>
    <row r="2" spans="1:7" x14ac:dyDescent="0.25">
      <c r="A2" s="8"/>
      <c r="B2" s="44">
        <v>2022</v>
      </c>
      <c r="C2" s="45"/>
      <c r="D2" s="44">
        <v>2021</v>
      </c>
      <c r="E2" s="45"/>
      <c r="F2" s="44">
        <v>2021</v>
      </c>
      <c r="G2" s="39" t="s">
        <v>50</v>
      </c>
    </row>
    <row r="3" spans="1:7" x14ac:dyDescent="0.25">
      <c r="A3" s="8"/>
      <c r="B3" s="39" t="s">
        <v>87</v>
      </c>
      <c r="C3" s="40"/>
      <c r="D3" s="39" t="s">
        <v>47</v>
      </c>
      <c r="E3" s="40"/>
      <c r="F3" s="39" t="s">
        <v>85</v>
      </c>
      <c r="G3" s="40"/>
    </row>
    <row r="4" spans="1:7" x14ac:dyDescent="0.25">
      <c r="A4" s="9"/>
      <c r="B4" s="39" t="s">
        <v>46</v>
      </c>
      <c r="C4" s="40"/>
      <c r="D4" s="39" t="s">
        <v>46</v>
      </c>
      <c r="E4" s="40"/>
      <c r="F4" s="39" t="s">
        <v>86</v>
      </c>
      <c r="G4" s="40"/>
    </row>
    <row r="5" spans="1:7" x14ac:dyDescent="0.25">
      <c r="A5" s="7" t="s">
        <v>45</v>
      </c>
      <c r="B5" s="40"/>
      <c r="C5" s="40"/>
      <c r="D5" s="40"/>
      <c r="E5" s="40"/>
      <c r="F5" s="40"/>
      <c r="G5" s="40"/>
    </row>
    <row r="6" spans="1:7" x14ac:dyDescent="0.25">
      <c r="A6" s="5" t="s">
        <v>44</v>
      </c>
      <c r="B6" s="41">
        <f>B48</f>
        <v>136800</v>
      </c>
      <c r="C6" s="40"/>
      <c r="D6" s="41">
        <f>D48</f>
        <v>130275</v>
      </c>
      <c r="E6" s="40"/>
      <c r="F6" s="40">
        <v>144600</v>
      </c>
      <c r="G6" s="40">
        <f>B6-D6</f>
        <v>6525</v>
      </c>
    </row>
    <row r="7" spans="1:7" x14ac:dyDescent="0.25">
      <c r="A7" s="5" t="s">
        <v>43</v>
      </c>
      <c r="B7" s="42">
        <v>50</v>
      </c>
      <c r="C7" s="40"/>
      <c r="D7" s="42">
        <v>75</v>
      </c>
      <c r="E7" s="40"/>
      <c r="F7" s="40">
        <v>75</v>
      </c>
      <c r="G7" s="40"/>
    </row>
    <row r="8" spans="1:7" x14ac:dyDescent="0.25">
      <c r="A8" s="5" t="s">
        <v>42</v>
      </c>
      <c r="B8" s="42">
        <v>200</v>
      </c>
      <c r="C8" s="40"/>
      <c r="D8" s="42">
        <v>500</v>
      </c>
      <c r="E8" s="40"/>
      <c r="F8" s="40">
        <v>200</v>
      </c>
      <c r="G8" s="40"/>
    </row>
    <row r="9" spans="1:7" x14ac:dyDescent="0.25">
      <c r="A9" s="5" t="s">
        <v>41</v>
      </c>
      <c r="B9" s="42">
        <f>167*9*7</f>
        <v>10521</v>
      </c>
      <c r="C9" s="40"/>
      <c r="D9" s="42">
        <v>50112</v>
      </c>
      <c r="E9" s="40"/>
      <c r="F9" s="40">
        <f>37909+3507</f>
        <v>41416</v>
      </c>
      <c r="G9" s="40">
        <f>167*3*7</f>
        <v>3507</v>
      </c>
    </row>
    <row r="10" spans="1:7" x14ac:dyDescent="0.25">
      <c r="A10" s="5" t="s">
        <v>40</v>
      </c>
      <c r="B10" s="42">
        <v>10</v>
      </c>
      <c r="C10" s="40"/>
      <c r="D10" s="42">
        <v>100</v>
      </c>
      <c r="E10" s="40"/>
      <c r="F10" s="40">
        <v>10</v>
      </c>
      <c r="G10" s="40"/>
    </row>
    <row r="11" spans="1:7" x14ac:dyDescent="0.25">
      <c r="A11" s="6" t="s">
        <v>39</v>
      </c>
      <c r="B11" s="41">
        <f>SUM(B6:B10)</f>
        <v>147581</v>
      </c>
      <c r="C11" s="40"/>
      <c r="D11" s="41">
        <f>SUM(D6:D10)-D9</f>
        <v>130950</v>
      </c>
      <c r="E11" s="40"/>
      <c r="F11" s="40">
        <f>SUM(F6:F10)</f>
        <v>186301</v>
      </c>
      <c r="G11" s="40"/>
    </row>
    <row r="12" spans="1:7" x14ac:dyDescent="0.25">
      <c r="A12" s="7" t="s">
        <v>38</v>
      </c>
      <c r="B12" s="41"/>
      <c r="C12" s="40"/>
      <c r="D12" s="41"/>
      <c r="E12" s="40"/>
      <c r="F12" s="40"/>
      <c r="G12" s="40"/>
    </row>
    <row r="13" spans="1:7" x14ac:dyDescent="0.25">
      <c r="A13" s="5" t="s">
        <v>37</v>
      </c>
      <c r="B13" s="42">
        <v>5400</v>
      </c>
      <c r="C13" s="40"/>
      <c r="D13" s="42">
        <f>450*12</f>
        <v>5400</v>
      </c>
      <c r="E13" s="40"/>
      <c r="F13" s="40">
        <f>450*12</f>
        <v>5400</v>
      </c>
      <c r="G13" s="40">
        <f t="shared" ref="G13:G20" si="0">B13-D13</f>
        <v>0</v>
      </c>
    </row>
    <row r="14" spans="1:7" x14ac:dyDescent="0.25">
      <c r="A14" s="5" t="s">
        <v>36</v>
      </c>
      <c r="B14" s="42">
        <v>300</v>
      </c>
      <c r="C14" s="40"/>
      <c r="D14" s="42">
        <v>300</v>
      </c>
      <c r="E14" s="40"/>
      <c r="F14" s="40">
        <v>310</v>
      </c>
      <c r="G14" s="40">
        <f t="shared" si="0"/>
        <v>0</v>
      </c>
    </row>
    <row r="15" spans="1:7" x14ac:dyDescent="0.25">
      <c r="A15" s="5" t="s">
        <v>35</v>
      </c>
      <c r="B15" s="42">
        <v>1000</v>
      </c>
      <c r="C15" s="40"/>
      <c r="D15" s="42">
        <v>1000</v>
      </c>
      <c r="E15" s="40"/>
      <c r="F15" s="40">
        <v>500</v>
      </c>
      <c r="G15" s="40">
        <f t="shared" si="0"/>
        <v>0</v>
      </c>
    </row>
    <row r="16" spans="1:7" x14ac:dyDescent="0.25">
      <c r="A16" s="5" t="s">
        <v>34</v>
      </c>
      <c r="B16" s="42">
        <v>300</v>
      </c>
      <c r="C16" s="40"/>
      <c r="D16" s="42">
        <v>300</v>
      </c>
      <c r="E16" s="40"/>
      <c r="F16" s="40">
        <v>2200</v>
      </c>
      <c r="G16" s="40">
        <f t="shared" si="0"/>
        <v>0</v>
      </c>
    </row>
    <row r="17" spans="1:12" x14ac:dyDescent="0.25">
      <c r="A17" s="5" t="s">
        <v>33</v>
      </c>
      <c r="B17" s="42">
        <v>50</v>
      </c>
      <c r="C17" s="40"/>
      <c r="D17" s="42">
        <v>50</v>
      </c>
      <c r="E17" s="40"/>
      <c r="F17" s="40">
        <v>55</v>
      </c>
      <c r="G17" s="40">
        <f t="shared" si="0"/>
        <v>0</v>
      </c>
      <c r="L17" s="1">
        <f>136800/24/4</f>
        <v>1425</v>
      </c>
    </row>
    <row r="18" spans="1:12" x14ac:dyDescent="0.25">
      <c r="A18" s="5" t="s">
        <v>32</v>
      </c>
      <c r="B18" s="42">
        <v>68000</v>
      </c>
      <c r="C18" s="40"/>
      <c r="D18" s="42">
        <v>55000</v>
      </c>
      <c r="E18" s="40"/>
      <c r="F18" s="40">
        <f>44000+11200</f>
        <v>55200</v>
      </c>
      <c r="G18" s="40">
        <f t="shared" si="0"/>
        <v>13000</v>
      </c>
    </row>
    <row r="19" spans="1:12" x14ac:dyDescent="0.25">
      <c r="A19" s="5" t="s">
        <v>31</v>
      </c>
      <c r="B19" s="42">
        <v>400</v>
      </c>
      <c r="C19" s="40"/>
      <c r="D19" s="42">
        <v>400</v>
      </c>
      <c r="E19" s="40"/>
      <c r="F19" s="40">
        <v>280</v>
      </c>
      <c r="G19" s="40">
        <f t="shared" si="0"/>
        <v>0</v>
      </c>
    </row>
    <row r="20" spans="1:12" x14ac:dyDescent="0.25">
      <c r="A20" s="5" t="s">
        <v>30</v>
      </c>
      <c r="B20" s="42">
        <v>150</v>
      </c>
      <c r="C20" s="40"/>
      <c r="D20" s="42">
        <v>125</v>
      </c>
      <c r="E20" s="40"/>
      <c r="F20" s="40">
        <v>100</v>
      </c>
      <c r="G20" s="40">
        <f t="shared" si="0"/>
        <v>25</v>
      </c>
    </row>
    <row r="21" spans="1:12" x14ac:dyDescent="0.25">
      <c r="A21" s="6" t="s">
        <v>29</v>
      </c>
      <c r="B21" s="42"/>
      <c r="C21" s="40"/>
      <c r="D21" s="42"/>
      <c r="E21" s="40"/>
      <c r="F21" s="40"/>
      <c r="G21" s="40"/>
    </row>
    <row r="22" spans="1:12" x14ac:dyDescent="0.25">
      <c r="A22" s="7" t="s">
        <v>28</v>
      </c>
      <c r="B22" s="42"/>
      <c r="C22" s="40"/>
      <c r="D22" s="42"/>
      <c r="E22" s="40"/>
      <c r="F22" s="40"/>
      <c r="G22" s="40"/>
    </row>
    <row r="23" spans="1:12" x14ac:dyDescent="0.25">
      <c r="A23" s="5" t="s">
        <v>27</v>
      </c>
      <c r="B23" s="42">
        <v>4600</v>
      </c>
      <c r="C23" s="40"/>
      <c r="D23" s="42">
        <v>4800</v>
      </c>
      <c r="E23" s="40"/>
      <c r="F23" s="40">
        <v>4800</v>
      </c>
      <c r="G23" s="40">
        <f t="shared" ref="G23:G30" si="1">B23-D23</f>
        <v>-200</v>
      </c>
    </row>
    <row r="24" spans="1:12" x14ac:dyDescent="0.25">
      <c r="A24" s="5" t="s">
        <v>26</v>
      </c>
      <c r="B24" s="42">
        <f>500*12</f>
        <v>6000</v>
      </c>
      <c r="C24" s="40"/>
      <c r="D24" s="42">
        <v>5000</v>
      </c>
      <c r="E24" s="40"/>
      <c r="F24" s="40">
        <v>5000</v>
      </c>
      <c r="G24" s="40">
        <f t="shared" si="1"/>
        <v>1000</v>
      </c>
    </row>
    <row r="25" spans="1:12" x14ac:dyDescent="0.25">
      <c r="A25" s="5" t="s">
        <v>25</v>
      </c>
      <c r="B25" s="42">
        <v>500</v>
      </c>
      <c r="C25" s="40"/>
      <c r="D25" s="42">
        <v>600</v>
      </c>
      <c r="E25" s="40"/>
      <c r="F25" s="40">
        <v>225</v>
      </c>
      <c r="G25" s="40">
        <f t="shared" si="1"/>
        <v>-100</v>
      </c>
    </row>
    <row r="26" spans="1:12" x14ac:dyDescent="0.25">
      <c r="A26" s="5" t="s">
        <v>24</v>
      </c>
      <c r="B26" s="42">
        <v>1700</v>
      </c>
      <c r="C26" s="40"/>
      <c r="D26" s="42">
        <v>2000</v>
      </c>
      <c r="E26" s="40"/>
      <c r="F26" s="40">
        <f>163*12</f>
        <v>1956</v>
      </c>
      <c r="G26" s="40">
        <f t="shared" si="1"/>
        <v>-300</v>
      </c>
    </row>
    <row r="27" spans="1:12" x14ac:dyDescent="0.25">
      <c r="A27" s="5" t="s">
        <v>23</v>
      </c>
      <c r="B27" s="42">
        <v>500</v>
      </c>
      <c r="C27" s="40"/>
      <c r="D27" s="42">
        <v>800</v>
      </c>
      <c r="E27" s="40"/>
      <c r="F27" s="40">
        <v>0</v>
      </c>
      <c r="G27" s="40">
        <f t="shared" si="1"/>
        <v>-300</v>
      </c>
    </row>
    <row r="28" spans="1:12" x14ac:dyDescent="0.25">
      <c r="A28" s="5" t="s">
        <v>22</v>
      </c>
      <c r="B28" s="42">
        <v>1000</v>
      </c>
      <c r="C28" s="40"/>
      <c r="D28" s="42">
        <v>200</v>
      </c>
      <c r="E28" s="40"/>
      <c r="F28" s="40"/>
      <c r="G28" s="40">
        <f t="shared" si="1"/>
        <v>800</v>
      </c>
    </row>
    <row r="29" spans="1:12" x14ac:dyDescent="0.25">
      <c r="A29" s="5" t="s">
        <v>21</v>
      </c>
      <c r="B29" s="42">
        <v>2000</v>
      </c>
      <c r="C29" s="40"/>
      <c r="D29" s="42">
        <v>1600</v>
      </c>
      <c r="E29" s="40"/>
      <c r="F29" s="40">
        <f>165*12</f>
        <v>1980</v>
      </c>
      <c r="G29" s="40">
        <f t="shared" si="1"/>
        <v>400</v>
      </c>
    </row>
    <row r="30" spans="1:12" x14ac:dyDescent="0.25">
      <c r="A30" s="5" t="s">
        <v>20</v>
      </c>
      <c r="B30" s="42">
        <v>1600</v>
      </c>
      <c r="C30" s="40"/>
      <c r="D30" s="42">
        <v>0</v>
      </c>
      <c r="E30" s="40"/>
      <c r="F30" s="40">
        <v>3500</v>
      </c>
      <c r="G30" s="40">
        <f t="shared" si="1"/>
        <v>1600</v>
      </c>
    </row>
    <row r="31" spans="1:12" x14ac:dyDescent="0.25">
      <c r="A31" s="6" t="s">
        <v>19</v>
      </c>
      <c r="B31" s="42"/>
      <c r="C31" s="40"/>
      <c r="D31" s="42"/>
      <c r="E31" s="40"/>
      <c r="F31" s="40"/>
      <c r="G31" s="40"/>
    </row>
    <row r="32" spans="1:12" x14ac:dyDescent="0.25">
      <c r="A32" s="7" t="s">
        <v>18</v>
      </c>
      <c r="B32" s="42"/>
      <c r="C32" s="40"/>
      <c r="D32" s="42"/>
      <c r="E32" s="40"/>
      <c r="F32" s="40"/>
      <c r="G32" s="40"/>
    </row>
    <row r="33" spans="1:14" x14ac:dyDescent="0.25">
      <c r="A33" s="5" t="s">
        <v>17</v>
      </c>
      <c r="B33" s="42">
        <v>4200</v>
      </c>
      <c r="C33" s="40"/>
      <c r="D33" s="42">
        <v>4500</v>
      </c>
      <c r="E33" s="40"/>
      <c r="F33" s="40">
        <f>380*12</f>
        <v>4560</v>
      </c>
      <c r="G33" s="40">
        <f>B33-D33</f>
        <v>-300</v>
      </c>
    </row>
    <row r="34" spans="1:14" x14ac:dyDescent="0.25">
      <c r="A34" s="5" t="s">
        <v>16</v>
      </c>
      <c r="B34" s="42">
        <v>20000</v>
      </c>
      <c r="C34" s="40"/>
      <c r="D34" s="42">
        <v>20000</v>
      </c>
      <c r="E34" s="40"/>
      <c r="F34" s="40">
        <f>12500</f>
        <v>12500</v>
      </c>
      <c r="G34" s="40">
        <f>B34-D34</f>
        <v>0</v>
      </c>
    </row>
    <row r="35" spans="1:14" x14ac:dyDescent="0.25">
      <c r="A35" s="5" t="s">
        <v>15</v>
      </c>
      <c r="B35" s="42">
        <v>550</v>
      </c>
      <c r="C35" s="40"/>
      <c r="D35" s="42">
        <v>500</v>
      </c>
      <c r="E35" s="40"/>
      <c r="F35" s="40">
        <v>500</v>
      </c>
      <c r="G35" s="40">
        <f>B35-D35</f>
        <v>50</v>
      </c>
    </row>
    <row r="36" spans="1:14" x14ac:dyDescent="0.25">
      <c r="A36" s="6" t="s">
        <v>14</v>
      </c>
      <c r="B36" s="42"/>
      <c r="C36" s="40"/>
      <c r="D36" s="42"/>
      <c r="E36" s="40"/>
      <c r="F36" s="40"/>
      <c r="G36" s="40"/>
    </row>
    <row r="37" spans="1:14" x14ac:dyDescent="0.25">
      <c r="A37" s="6" t="s">
        <v>13</v>
      </c>
      <c r="B37" s="42"/>
      <c r="C37" s="40"/>
      <c r="D37" s="42"/>
      <c r="E37" s="40"/>
      <c r="F37" s="40"/>
      <c r="G37" s="40"/>
    </row>
    <row r="38" spans="1:14" x14ac:dyDescent="0.25">
      <c r="A38" s="5" t="s">
        <v>12</v>
      </c>
      <c r="B38" s="42">
        <v>250</v>
      </c>
      <c r="C38" s="40"/>
      <c r="D38" s="42">
        <v>250</v>
      </c>
      <c r="E38" s="40"/>
      <c r="F38" s="40"/>
      <c r="G38" s="40">
        <f t="shared" ref="G38:G45" si="2">B38-D38</f>
        <v>0</v>
      </c>
    </row>
    <row r="39" spans="1:14" x14ac:dyDescent="0.25">
      <c r="A39" s="5" t="s">
        <v>11</v>
      </c>
      <c r="B39" s="42">
        <v>400</v>
      </c>
      <c r="C39" s="40"/>
      <c r="D39" s="42">
        <v>400</v>
      </c>
      <c r="E39" s="40"/>
      <c r="F39" s="40">
        <v>1000</v>
      </c>
      <c r="G39" s="40">
        <f t="shared" si="2"/>
        <v>0</v>
      </c>
    </row>
    <row r="40" spans="1:14" x14ac:dyDescent="0.25">
      <c r="A40" s="5" t="s">
        <v>10</v>
      </c>
      <c r="B40" s="42">
        <v>6500</v>
      </c>
      <c r="C40" s="40"/>
      <c r="D40" s="42">
        <v>6500</v>
      </c>
      <c r="E40" s="40"/>
      <c r="F40" s="40">
        <v>5200</v>
      </c>
      <c r="G40" s="40">
        <f t="shared" si="2"/>
        <v>0</v>
      </c>
    </row>
    <row r="41" spans="1:14" x14ac:dyDescent="0.25">
      <c r="A41" s="5" t="s">
        <v>9</v>
      </c>
      <c r="B41" s="42">
        <v>3000</v>
      </c>
      <c r="C41" s="40"/>
      <c r="D41" s="42">
        <v>12000</v>
      </c>
      <c r="E41" s="40"/>
      <c r="F41" s="40">
        <v>6000</v>
      </c>
      <c r="G41" s="40">
        <f t="shared" si="2"/>
        <v>-9000</v>
      </c>
    </row>
    <row r="42" spans="1:14" x14ac:dyDescent="0.25">
      <c r="A42" s="5" t="s">
        <v>8</v>
      </c>
      <c r="B42" s="41">
        <v>1500</v>
      </c>
      <c r="C42" s="40"/>
      <c r="D42" s="41">
        <v>1000</v>
      </c>
      <c r="E42" s="40"/>
      <c r="F42" s="40">
        <f>240*6</f>
        <v>1440</v>
      </c>
      <c r="G42" s="40">
        <f t="shared" si="2"/>
        <v>500</v>
      </c>
    </row>
    <row r="43" spans="1:14" x14ac:dyDescent="0.25">
      <c r="A43" s="5" t="s">
        <v>7</v>
      </c>
      <c r="B43" s="41">
        <v>1400</v>
      </c>
      <c r="C43" s="40"/>
      <c r="D43" s="41">
        <v>1400</v>
      </c>
      <c r="E43" s="40"/>
      <c r="F43" s="40">
        <v>600</v>
      </c>
      <c r="G43" s="40">
        <f t="shared" si="2"/>
        <v>0</v>
      </c>
    </row>
    <row r="44" spans="1:14" x14ac:dyDescent="0.25">
      <c r="A44" s="5" t="s">
        <v>6</v>
      </c>
      <c r="B44" s="41">
        <v>4500</v>
      </c>
      <c r="C44" s="40"/>
      <c r="D44" s="41">
        <v>5150</v>
      </c>
      <c r="E44" s="40"/>
      <c r="F44" s="40"/>
      <c r="G44" s="40">
        <f t="shared" si="2"/>
        <v>-650</v>
      </c>
    </row>
    <row r="45" spans="1:14" x14ac:dyDescent="0.25">
      <c r="A45" s="5" t="s">
        <v>5</v>
      </c>
      <c r="B45" s="41">
        <v>1000</v>
      </c>
      <c r="C45" s="40"/>
      <c r="D45" s="41">
        <v>1000</v>
      </c>
      <c r="E45" s="40"/>
      <c r="F45" s="40">
        <v>10000</v>
      </c>
      <c r="G45" s="40">
        <f t="shared" si="2"/>
        <v>0</v>
      </c>
    </row>
    <row r="46" spans="1:14" x14ac:dyDescent="0.25">
      <c r="A46" s="5" t="s">
        <v>4</v>
      </c>
      <c r="B46" s="46">
        <v>10521</v>
      </c>
      <c r="C46" s="40"/>
      <c r="D46" s="46">
        <f>4023.52*12</f>
        <v>48282.239999999998</v>
      </c>
      <c r="E46" s="40"/>
      <c r="F46" s="40">
        <v>49000</v>
      </c>
      <c r="G46" s="40"/>
      <c r="N46" s="1">
        <f>1425*4*21</f>
        <v>119700</v>
      </c>
    </row>
    <row r="47" spans="1:14" x14ac:dyDescent="0.25">
      <c r="A47" s="10" t="s">
        <v>3</v>
      </c>
      <c r="B47" s="43"/>
      <c r="C47" s="40"/>
      <c r="D47" s="43"/>
      <c r="E47" s="40"/>
      <c r="F47" s="40"/>
      <c r="G47" s="40"/>
    </row>
    <row r="48" spans="1:14" x14ac:dyDescent="0.25">
      <c r="A48" s="11" t="s">
        <v>2</v>
      </c>
      <c r="B48" s="41">
        <f>SUM(B13:B47)-B46</f>
        <v>136800</v>
      </c>
      <c r="C48" s="40"/>
      <c r="D48" s="41">
        <f>SUM(D13:D47)-D46</f>
        <v>130275</v>
      </c>
      <c r="E48" s="40"/>
      <c r="F48" s="40">
        <f>SUM(F13:F46)</f>
        <v>172306</v>
      </c>
      <c r="G48" s="40">
        <f>B48-D48</f>
        <v>6525</v>
      </c>
    </row>
    <row r="49" spans="1:4" x14ac:dyDescent="0.25">
      <c r="A49" s="4"/>
      <c r="B49" s="3"/>
      <c r="D49" s="3"/>
    </row>
    <row r="50" spans="1:4" ht="12.9" customHeight="1" x14ac:dyDescent="0.25">
      <c r="A50" s="65" t="s">
        <v>51</v>
      </c>
      <c r="B50" s="65"/>
      <c r="C50" s="65"/>
      <c r="D50" s="65"/>
    </row>
    <row r="51" spans="1:4" ht="12.9" customHeight="1" x14ac:dyDescent="0.25">
      <c r="A51" s="65"/>
      <c r="B51" s="65"/>
      <c r="C51" s="65"/>
      <c r="D51" s="65"/>
    </row>
    <row r="52" spans="1:4" x14ac:dyDescent="0.25">
      <c r="A52" s="47" t="s">
        <v>1</v>
      </c>
      <c r="B52" s="48">
        <v>24</v>
      </c>
      <c r="C52" s="49"/>
      <c r="D52" s="48">
        <v>24</v>
      </c>
    </row>
    <row r="53" spans="1:4" x14ac:dyDescent="0.25">
      <c r="A53" s="47" t="s">
        <v>0</v>
      </c>
      <c r="B53" s="48">
        <v>4</v>
      </c>
      <c r="C53" s="49"/>
      <c r="D53" s="48">
        <v>4</v>
      </c>
    </row>
    <row r="54" spans="1:4" x14ac:dyDescent="0.25">
      <c r="A54" s="50" t="s">
        <v>48</v>
      </c>
      <c r="B54" s="51">
        <f>B48/B52/B53</f>
        <v>1425</v>
      </c>
      <c r="C54" s="51"/>
      <c r="D54" s="51">
        <v>1350</v>
      </c>
    </row>
  </sheetData>
  <mergeCells count="2">
    <mergeCell ref="A1:G1"/>
    <mergeCell ref="A50:D51"/>
  </mergeCells>
  <pageMargins left="0.25" right="0.25" top="0.75" bottom="0.75" header="0.3" footer="0.3"/>
  <pageSetup scale="6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7FBD0-F92B-4680-9159-A37AA6DB89C8}">
  <dimension ref="A1:M18"/>
  <sheetViews>
    <sheetView zoomScaleNormal="100" workbookViewId="0">
      <selection activeCell="E14" sqref="E14:F15"/>
    </sheetView>
  </sheetViews>
  <sheetFormatPr defaultColWidth="9" defaultRowHeight="11.4" x14ac:dyDescent="0.2"/>
  <cols>
    <col min="1" max="1" width="17" bestFit="1" customWidth="1"/>
    <col min="2" max="2" width="11" bestFit="1" customWidth="1"/>
    <col min="3" max="3" width="12" bestFit="1" customWidth="1"/>
    <col min="4" max="4" width="15.625" bestFit="1" customWidth="1"/>
    <col min="5" max="5" width="12.625" bestFit="1" customWidth="1"/>
    <col min="6" max="6" width="14.125" customWidth="1"/>
    <col min="7" max="7" width="13.625" bestFit="1" customWidth="1"/>
    <col min="8" max="8" width="18.125" bestFit="1" customWidth="1"/>
    <col min="9" max="9" width="19.875" bestFit="1" customWidth="1"/>
    <col min="12" max="12" width="22.375" customWidth="1"/>
  </cols>
  <sheetData>
    <row r="1" spans="1:13" ht="22.8" x14ac:dyDescent="0.4">
      <c r="A1" s="72" t="s">
        <v>82</v>
      </c>
      <c r="B1" s="72"/>
      <c r="C1" s="72"/>
      <c r="D1" s="72"/>
      <c r="E1" s="72"/>
      <c r="F1" s="72"/>
      <c r="G1" s="72"/>
      <c r="H1" s="72"/>
    </row>
    <row r="2" spans="1:13" ht="12" thickBot="1" x14ac:dyDescent="0.25"/>
    <row r="3" spans="1:13" ht="15" x14ac:dyDescent="0.25">
      <c r="A3" s="12" t="s">
        <v>52</v>
      </c>
      <c r="B3" s="13" t="s">
        <v>53</v>
      </c>
      <c r="C3" s="13" t="s">
        <v>53</v>
      </c>
      <c r="D3" s="13" t="s">
        <v>54</v>
      </c>
      <c r="E3" s="14" t="s">
        <v>55</v>
      </c>
      <c r="F3" s="13" t="s">
        <v>56</v>
      </c>
      <c r="G3" s="13" t="s">
        <v>57</v>
      </c>
      <c r="H3" s="15" t="s">
        <v>58</v>
      </c>
      <c r="I3" s="15" t="s">
        <v>58</v>
      </c>
      <c r="L3" s="16"/>
      <c r="M3" s="17"/>
    </row>
    <row r="4" spans="1:13" ht="15" x14ac:dyDescent="0.25">
      <c r="A4" s="18"/>
      <c r="B4" s="19" t="s">
        <v>59</v>
      </c>
      <c r="C4" s="19" t="s">
        <v>60</v>
      </c>
      <c r="D4" s="19" t="s">
        <v>61</v>
      </c>
      <c r="E4" s="20" t="s">
        <v>62</v>
      </c>
      <c r="F4" s="19" t="s">
        <v>63</v>
      </c>
      <c r="G4" s="19" t="s">
        <v>58</v>
      </c>
      <c r="H4" s="21" t="s">
        <v>83</v>
      </c>
      <c r="I4" s="21" t="s">
        <v>84</v>
      </c>
      <c r="L4" s="16"/>
      <c r="M4" s="17"/>
    </row>
    <row r="5" spans="1:13" ht="15" x14ac:dyDescent="0.25">
      <c r="A5" s="18"/>
      <c r="B5" s="19"/>
      <c r="C5" s="19"/>
      <c r="D5" s="19"/>
      <c r="E5" s="20" t="s">
        <v>64</v>
      </c>
      <c r="F5" s="22">
        <v>44561</v>
      </c>
      <c r="G5" s="19" t="s">
        <v>65</v>
      </c>
      <c r="H5" s="21" t="s">
        <v>66</v>
      </c>
      <c r="I5" s="21" t="s">
        <v>67</v>
      </c>
      <c r="L5" s="16"/>
      <c r="M5" s="17"/>
    </row>
    <row r="6" spans="1:13" ht="15" x14ac:dyDescent="0.25">
      <c r="A6" s="23" t="s">
        <v>68</v>
      </c>
      <c r="B6" s="24">
        <v>20</v>
      </c>
      <c r="C6" s="25">
        <v>200000</v>
      </c>
      <c r="D6" s="24">
        <v>5</v>
      </c>
      <c r="E6" s="26">
        <v>0.2</v>
      </c>
      <c r="F6" s="27">
        <v>0</v>
      </c>
      <c r="G6" s="27">
        <f>SUM(C6/D6)-F6</f>
        <v>40000</v>
      </c>
      <c r="H6" s="28">
        <f>SUM(C6/D6)</f>
        <v>40000</v>
      </c>
      <c r="I6" s="29">
        <f>C6/D6*0.4</f>
        <v>16000</v>
      </c>
      <c r="L6" s="16"/>
      <c r="M6" s="17"/>
    </row>
    <row r="7" spans="1:13" ht="15" x14ac:dyDescent="0.25">
      <c r="A7" s="23" t="s">
        <v>69</v>
      </c>
      <c r="B7" s="24">
        <v>50</v>
      </c>
      <c r="C7" s="27">
        <v>80000</v>
      </c>
      <c r="D7" s="24">
        <v>50</v>
      </c>
      <c r="E7" s="26">
        <v>0.2</v>
      </c>
      <c r="F7" s="27">
        <v>0</v>
      </c>
      <c r="G7" s="27">
        <f t="shared" ref="G7:G10" si="0">SUM(C7/D7)-F7</f>
        <v>1600</v>
      </c>
      <c r="H7" s="28">
        <f t="shared" ref="H7:H10" si="1">SUM(C7/D7)</f>
        <v>1600</v>
      </c>
      <c r="I7" s="29">
        <f>C7/D7*0.4</f>
        <v>640</v>
      </c>
      <c r="L7" s="16"/>
      <c r="M7" s="17"/>
    </row>
    <row r="8" spans="1:13" ht="15" x14ac:dyDescent="0.25">
      <c r="A8" s="23" t="s">
        <v>70</v>
      </c>
      <c r="B8" s="24">
        <v>30</v>
      </c>
      <c r="C8" s="27">
        <v>10000</v>
      </c>
      <c r="D8" s="30">
        <v>2</v>
      </c>
      <c r="E8" s="26">
        <v>0.2</v>
      </c>
      <c r="F8" s="27">
        <v>0</v>
      </c>
      <c r="G8" s="27">
        <v>10000</v>
      </c>
      <c r="H8" s="28">
        <f t="shared" si="1"/>
        <v>5000</v>
      </c>
      <c r="I8" s="29">
        <f t="shared" ref="I8:I10" si="2">C8/D8*0.4</f>
        <v>2000</v>
      </c>
      <c r="L8" s="16"/>
      <c r="M8" s="17"/>
    </row>
    <row r="9" spans="1:13" ht="15" x14ac:dyDescent="0.25">
      <c r="A9" s="23" t="s">
        <v>71</v>
      </c>
      <c r="B9" s="24">
        <v>8</v>
      </c>
      <c r="C9" s="27">
        <v>15000</v>
      </c>
      <c r="D9" s="24">
        <v>6</v>
      </c>
      <c r="E9" s="26">
        <v>0.2</v>
      </c>
      <c r="F9" s="27">
        <v>0</v>
      </c>
      <c r="G9" s="27">
        <f t="shared" si="0"/>
        <v>2500</v>
      </c>
      <c r="H9" s="28">
        <f t="shared" si="1"/>
        <v>2500</v>
      </c>
      <c r="I9" s="28">
        <f t="shared" si="2"/>
        <v>1000</v>
      </c>
      <c r="L9" s="16"/>
      <c r="M9" s="17"/>
    </row>
    <row r="10" spans="1:13" ht="13.2" x14ac:dyDescent="0.25">
      <c r="A10" s="23" t="s">
        <v>72</v>
      </c>
      <c r="B10" s="24">
        <v>7</v>
      </c>
      <c r="C10" s="27">
        <v>25000</v>
      </c>
      <c r="D10" s="24">
        <v>4</v>
      </c>
      <c r="E10" s="26">
        <v>0.2</v>
      </c>
      <c r="F10" s="27">
        <v>0</v>
      </c>
      <c r="G10" s="27">
        <f t="shared" si="0"/>
        <v>6250</v>
      </c>
      <c r="H10" s="28">
        <f t="shared" si="1"/>
        <v>6250</v>
      </c>
      <c r="I10" s="28">
        <f t="shared" si="2"/>
        <v>2500</v>
      </c>
    </row>
    <row r="11" spans="1:13" ht="13.8" thickBot="1" x14ac:dyDescent="0.3">
      <c r="A11" s="31" t="s">
        <v>73</v>
      </c>
      <c r="B11" s="32"/>
      <c r="C11" s="33">
        <f>SUM(C6:C10)</f>
        <v>330000</v>
      </c>
      <c r="D11" s="32"/>
      <c r="E11" s="34">
        <f>SUM(E6:E10)</f>
        <v>1</v>
      </c>
      <c r="F11" s="33">
        <f>SUM(F6:F10)</f>
        <v>0</v>
      </c>
      <c r="G11" s="33">
        <f>SUM(G6:G10)</f>
        <v>60350</v>
      </c>
      <c r="H11" s="35">
        <f>SUM(H6:H10)</f>
        <v>55350</v>
      </c>
      <c r="I11" s="35">
        <f>SUM(I6:I10)</f>
        <v>22140</v>
      </c>
    </row>
    <row r="12" spans="1:13" ht="12" thickBot="1" x14ac:dyDescent="0.25"/>
    <row r="13" spans="1:13" ht="13.8" x14ac:dyDescent="0.25">
      <c r="A13" s="73" t="s">
        <v>74</v>
      </c>
      <c r="B13" s="74"/>
      <c r="C13" s="75"/>
      <c r="D13" s="76" t="s">
        <v>75</v>
      </c>
      <c r="E13" s="76"/>
      <c r="F13" s="76"/>
      <c r="G13" s="76"/>
      <c r="H13" s="76"/>
      <c r="I13" s="76"/>
    </row>
    <row r="14" spans="1:13" ht="27.6" x14ac:dyDescent="0.25">
      <c r="A14" s="18" t="s">
        <v>76</v>
      </c>
      <c r="B14" s="77" t="s">
        <v>77</v>
      </c>
      <c r="C14" s="78"/>
      <c r="D14" s="79"/>
      <c r="E14" s="80" t="s">
        <v>78</v>
      </c>
      <c r="F14" s="80"/>
      <c r="G14" s="36" t="s">
        <v>79</v>
      </c>
      <c r="H14" s="37" t="s">
        <v>67</v>
      </c>
      <c r="I14" s="37" t="s">
        <v>80</v>
      </c>
    </row>
    <row r="15" spans="1:13" ht="13.2" x14ac:dyDescent="0.25">
      <c r="A15" s="23" t="s">
        <v>76</v>
      </c>
      <c r="B15" s="81">
        <f>SUM('1. Budget 2022'!B54)</f>
        <v>1425</v>
      </c>
      <c r="C15" s="82"/>
      <c r="D15" s="83"/>
      <c r="E15" s="84">
        <f>SUM(H11/24)/4</f>
        <v>576.5625</v>
      </c>
      <c r="F15" s="84"/>
      <c r="G15" s="38">
        <f>SUM(B15+E15)</f>
        <v>2001.5625</v>
      </c>
      <c r="H15" s="27">
        <f>SUM(I11/24/4)</f>
        <v>230.625</v>
      </c>
      <c r="I15" s="27">
        <f>SUM(H15+B15)</f>
        <v>1655.625</v>
      </c>
    </row>
    <row r="16" spans="1:13" ht="12" thickBot="1" x14ac:dyDescent="0.25"/>
    <row r="17" spans="1:9" x14ac:dyDescent="0.2">
      <c r="A17" s="66" t="s">
        <v>81</v>
      </c>
      <c r="B17" s="67"/>
      <c r="C17" s="67"/>
      <c r="D17" s="67"/>
      <c r="E17" s="67"/>
      <c r="F17" s="67"/>
      <c r="G17" s="67"/>
      <c r="H17" s="67"/>
      <c r="I17" s="68"/>
    </row>
    <row r="18" spans="1:9" ht="42" customHeight="1" thickBot="1" x14ac:dyDescent="0.25">
      <c r="A18" s="69"/>
      <c r="B18" s="70"/>
      <c r="C18" s="70"/>
      <c r="D18" s="70"/>
      <c r="E18" s="70"/>
      <c r="F18" s="70"/>
      <c r="G18" s="70"/>
      <c r="H18" s="70"/>
      <c r="I18" s="71"/>
    </row>
  </sheetData>
  <mergeCells count="8">
    <mergeCell ref="A17:I18"/>
    <mergeCell ref="A1:H1"/>
    <mergeCell ref="A13:C13"/>
    <mergeCell ref="D13:I13"/>
    <mergeCell ref="B14:D14"/>
    <mergeCell ref="E14:F14"/>
    <mergeCell ref="B15:D15"/>
    <mergeCell ref="E15:F15"/>
  </mergeCells>
  <pageMargins left="0.25" right="0.25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9F55-EB65-4193-A7A2-0B05C219E1FB}">
  <sheetPr>
    <tabColor rgb="FFFFFF00"/>
  </sheetPr>
  <dimension ref="A1:N54"/>
  <sheetViews>
    <sheetView topLeftCell="A13" zoomScaleNormal="100" workbookViewId="0">
      <selection activeCell="K29" sqref="K29"/>
    </sheetView>
  </sheetViews>
  <sheetFormatPr defaultColWidth="9" defaultRowHeight="13.2" x14ac:dyDescent="0.25"/>
  <cols>
    <col min="1" max="1" width="42.875" style="2" bestFit="1" customWidth="1"/>
    <col min="2" max="2" width="12.25" style="1" bestFit="1" customWidth="1"/>
    <col min="3" max="3" width="2" style="1" customWidth="1"/>
    <col min="4" max="4" width="17.625" style="1" customWidth="1"/>
    <col min="5" max="5" width="2" style="1" customWidth="1"/>
    <col min="6" max="6" width="19.125" style="1" bestFit="1" customWidth="1"/>
    <col min="7" max="7" width="11.875" style="1" hidden="1" customWidth="1"/>
    <col min="8" max="8" width="9" style="1"/>
    <col min="9" max="9" width="10.875" style="1" bestFit="1" customWidth="1"/>
    <col min="10" max="16384" width="9" style="1"/>
  </cols>
  <sheetData>
    <row r="1" spans="1:7" ht="26.1" customHeight="1" x14ac:dyDescent="0.25">
      <c r="A1" s="64" t="s">
        <v>88</v>
      </c>
      <c r="B1" s="64"/>
      <c r="C1" s="64"/>
      <c r="D1" s="64"/>
      <c r="E1" s="64"/>
      <c r="F1" s="64"/>
      <c r="G1" s="64"/>
    </row>
    <row r="2" spans="1:7" x14ac:dyDescent="0.25">
      <c r="A2" s="8"/>
      <c r="B2" s="44">
        <v>2022</v>
      </c>
      <c r="C2" s="45"/>
      <c r="D2" s="44">
        <v>2022</v>
      </c>
      <c r="E2" s="45"/>
      <c r="F2" s="44">
        <v>2023</v>
      </c>
      <c r="G2" s="39" t="s">
        <v>50</v>
      </c>
    </row>
    <row r="3" spans="1:7" x14ac:dyDescent="0.25">
      <c r="A3" s="8"/>
      <c r="B3" s="39" t="s">
        <v>47</v>
      </c>
      <c r="C3" s="40"/>
      <c r="D3" s="39" t="s">
        <v>85</v>
      </c>
      <c r="E3" s="40"/>
      <c r="F3" s="39" t="s">
        <v>87</v>
      </c>
      <c r="G3" s="40"/>
    </row>
    <row r="4" spans="1:7" x14ac:dyDescent="0.25">
      <c r="A4" s="9"/>
      <c r="B4" s="39" t="s">
        <v>46</v>
      </c>
      <c r="C4" s="40"/>
      <c r="D4" s="39" t="s">
        <v>46</v>
      </c>
      <c r="E4" s="40"/>
      <c r="F4" s="39" t="s">
        <v>86</v>
      </c>
      <c r="G4" s="40"/>
    </row>
    <row r="5" spans="1:7" x14ac:dyDescent="0.25">
      <c r="A5" s="7" t="s">
        <v>45</v>
      </c>
      <c r="B5" s="40"/>
      <c r="C5" s="40"/>
      <c r="D5" s="40"/>
      <c r="E5" s="40"/>
      <c r="F5" s="40"/>
      <c r="G5" s="40"/>
    </row>
    <row r="6" spans="1:7" x14ac:dyDescent="0.25">
      <c r="A6" s="5" t="s">
        <v>44</v>
      </c>
      <c r="B6" s="41">
        <f>B48</f>
        <v>136800</v>
      </c>
      <c r="C6" s="40"/>
      <c r="D6" s="41">
        <f>1425*4*24</f>
        <v>136800</v>
      </c>
      <c r="E6" s="40"/>
      <c r="F6" s="40">
        <f>SUM(F48-F10-F8-F7)</f>
        <v>143680</v>
      </c>
      <c r="G6" s="40">
        <f>B6-D6</f>
        <v>0</v>
      </c>
    </row>
    <row r="7" spans="1:7" x14ac:dyDescent="0.25">
      <c r="A7" s="5" t="s">
        <v>43</v>
      </c>
      <c r="B7" s="42">
        <v>50</v>
      </c>
      <c r="C7" s="40"/>
      <c r="D7" s="42">
        <v>350</v>
      </c>
      <c r="E7" s="40"/>
      <c r="F7" s="40">
        <v>75</v>
      </c>
      <c r="G7" s="40"/>
    </row>
    <row r="8" spans="1:7" x14ac:dyDescent="0.25">
      <c r="A8" s="5" t="s">
        <v>42</v>
      </c>
      <c r="B8" s="42">
        <v>200</v>
      </c>
      <c r="C8" s="40"/>
      <c r="D8" s="42">
        <v>300</v>
      </c>
      <c r="E8" s="40"/>
      <c r="F8" s="40">
        <v>200</v>
      </c>
      <c r="G8" s="40"/>
    </row>
    <row r="9" spans="1:7" x14ac:dyDescent="0.25">
      <c r="A9" s="5" t="s">
        <v>41</v>
      </c>
      <c r="B9" s="42">
        <f>167*9*7</f>
        <v>10521</v>
      </c>
      <c r="C9" s="40"/>
      <c r="D9" s="42">
        <v>90000</v>
      </c>
      <c r="E9" s="40"/>
      <c r="F9" s="40">
        <f>37909+3507</f>
        <v>41416</v>
      </c>
      <c r="G9" s="40">
        <f>167*3*7</f>
        <v>3507</v>
      </c>
    </row>
    <row r="10" spans="1:7" x14ac:dyDescent="0.25">
      <c r="A10" s="5" t="s">
        <v>40</v>
      </c>
      <c r="B10" s="42">
        <v>10</v>
      </c>
      <c r="C10" s="40"/>
      <c r="D10" s="42">
        <v>10</v>
      </c>
      <c r="E10" s="40"/>
      <c r="F10" s="40">
        <v>10</v>
      </c>
      <c r="G10" s="40"/>
    </row>
    <row r="11" spans="1:7" x14ac:dyDescent="0.25">
      <c r="A11" s="6" t="s">
        <v>39</v>
      </c>
      <c r="B11" s="53">
        <f>SUM(B6:B10)</f>
        <v>147581</v>
      </c>
      <c r="C11" s="39"/>
      <c r="D11" s="53">
        <f>SUM(D6:D10)</f>
        <v>227460</v>
      </c>
      <c r="E11" s="39"/>
      <c r="F11" s="39">
        <f>SUM(F6:F10)-F9</f>
        <v>143965</v>
      </c>
      <c r="G11" s="40"/>
    </row>
    <row r="12" spans="1:7" x14ac:dyDescent="0.25">
      <c r="A12" s="7" t="s">
        <v>38</v>
      </c>
      <c r="B12" s="41"/>
      <c r="C12" s="40"/>
      <c r="D12" s="41"/>
      <c r="E12" s="40"/>
      <c r="F12" s="40"/>
      <c r="G12" s="40"/>
    </row>
    <row r="13" spans="1:7" x14ac:dyDescent="0.25">
      <c r="A13" s="5" t="s">
        <v>37</v>
      </c>
      <c r="B13" s="42">
        <v>5400</v>
      </c>
      <c r="C13" s="40"/>
      <c r="D13" s="42">
        <f>450*12</f>
        <v>5400</v>
      </c>
      <c r="E13" s="40"/>
      <c r="F13" s="40">
        <f>450*12</f>
        <v>5400</v>
      </c>
      <c r="G13" s="40">
        <f t="shared" ref="G13:G20" si="0">B13-D13</f>
        <v>0</v>
      </c>
    </row>
    <row r="14" spans="1:7" x14ac:dyDescent="0.25">
      <c r="A14" s="5" t="s">
        <v>36</v>
      </c>
      <c r="B14" s="42">
        <v>300</v>
      </c>
      <c r="C14" s="40"/>
      <c r="D14" s="42">
        <v>325</v>
      </c>
      <c r="E14" s="40"/>
      <c r="F14" s="40">
        <v>350</v>
      </c>
      <c r="G14" s="40">
        <f t="shared" si="0"/>
        <v>-25</v>
      </c>
    </row>
    <row r="15" spans="1:7" x14ac:dyDescent="0.25">
      <c r="A15" s="5" t="s">
        <v>35</v>
      </c>
      <c r="B15" s="42">
        <v>1000</v>
      </c>
      <c r="C15" s="40"/>
      <c r="D15" s="42">
        <v>1000</v>
      </c>
      <c r="E15" s="40"/>
      <c r="F15" s="40">
        <v>500</v>
      </c>
      <c r="G15" s="40">
        <f t="shared" si="0"/>
        <v>0</v>
      </c>
    </row>
    <row r="16" spans="1:7" x14ac:dyDescent="0.25">
      <c r="A16" s="5" t="s">
        <v>34</v>
      </c>
      <c r="B16" s="42">
        <v>300</v>
      </c>
      <c r="C16" s="40"/>
      <c r="D16" s="42">
        <v>700</v>
      </c>
      <c r="E16" s="40"/>
      <c r="F16" s="40">
        <v>600</v>
      </c>
      <c r="G16" s="40">
        <f t="shared" si="0"/>
        <v>-400</v>
      </c>
    </row>
    <row r="17" spans="1:12" x14ac:dyDescent="0.25">
      <c r="A17" s="5" t="s">
        <v>33</v>
      </c>
      <c r="B17" s="42">
        <v>50</v>
      </c>
      <c r="C17" s="40"/>
      <c r="D17" s="42">
        <v>50</v>
      </c>
      <c r="E17" s="40"/>
      <c r="F17" s="40">
        <v>55</v>
      </c>
      <c r="G17" s="40">
        <f t="shared" si="0"/>
        <v>0</v>
      </c>
      <c r="L17" s="1">
        <f>136800/24/4</f>
        <v>1425</v>
      </c>
    </row>
    <row r="18" spans="1:12" x14ac:dyDescent="0.25">
      <c r="A18" s="5" t="s">
        <v>32</v>
      </c>
      <c r="B18" s="42">
        <v>68000</v>
      </c>
      <c r="C18" s="40"/>
      <c r="D18" s="42">
        <v>72000</v>
      </c>
      <c r="E18" s="40"/>
      <c r="F18" s="40">
        <v>77000</v>
      </c>
      <c r="G18" s="40">
        <f t="shared" si="0"/>
        <v>-4000</v>
      </c>
      <c r="H18" s="1">
        <f>156000</f>
        <v>156000</v>
      </c>
      <c r="I18" s="62">
        <f>H18-F18</f>
        <v>79000</v>
      </c>
    </row>
    <row r="19" spans="1:12" x14ac:dyDescent="0.25">
      <c r="A19" s="5" t="s">
        <v>31</v>
      </c>
      <c r="B19" s="42">
        <v>400</v>
      </c>
      <c r="C19" s="40"/>
      <c r="D19" s="42">
        <v>600</v>
      </c>
      <c r="E19" s="40"/>
      <c r="F19" s="40">
        <v>600</v>
      </c>
      <c r="G19" s="40">
        <f t="shared" si="0"/>
        <v>-200</v>
      </c>
      <c r="I19" s="62">
        <f>I18/24/9</f>
        <v>365.7407407407407</v>
      </c>
    </row>
    <row r="20" spans="1:12" x14ac:dyDescent="0.25">
      <c r="A20" s="5" t="s">
        <v>30</v>
      </c>
      <c r="B20" s="42">
        <v>150</v>
      </c>
      <c r="C20" s="40"/>
      <c r="D20" s="42">
        <v>150</v>
      </c>
      <c r="E20" s="40"/>
      <c r="F20" s="40">
        <v>150</v>
      </c>
      <c r="G20" s="40">
        <f t="shared" si="0"/>
        <v>0</v>
      </c>
    </row>
    <row r="21" spans="1:12" x14ac:dyDescent="0.25">
      <c r="A21" s="6" t="s">
        <v>29</v>
      </c>
      <c r="B21" s="52">
        <f>SUM(B13:B20)</f>
        <v>75600</v>
      </c>
      <c r="C21" s="39"/>
      <c r="D21" s="52">
        <f>SUM(D13:D20)</f>
        <v>80225</v>
      </c>
      <c r="E21" s="39"/>
      <c r="F21" s="39">
        <f>SUM(F13:F20)</f>
        <v>84655</v>
      </c>
      <c r="G21" s="40"/>
    </row>
    <row r="22" spans="1:12" x14ac:dyDescent="0.25">
      <c r="A22" s="7" t="s">
        <v>28</v>
      </c>
      <c r="B22" s="42"/>
      <c r="C22" s="40"/>
      <c r="D22" s="42"/>
      <c r="E22" s="40"/>
      <c r="F22" s="40"/>
      <c r="G22" s="40"/>
      <c r="I22" s="1">
        <f>77000/12</f>
        <v>6416.666666666667</v>
      </c>
      <c r="K22" s="1">
        <f>18153-6416</f>
        <v>11737</v>
      </c>
      <c r="L22" s="1">
        <f>1281.25*24</f>
        <v>30750</v>
      </c>
    </row>
    <row r="23" spans="1:12" x14ac:dyDescent="0.25">
      <c r="A23" s="5" t="s">
        <v>27</v>
      </c>
      <c r="B23" s="42">
        <v>4600</v>
      </c>
      <c r="C23" s="40"/>
      <c r="D23" s="42">
        <v>6500</v>
      </c>
      <c r="E23" s="40"/>
      <c r="F23" s="40">
        <v>6500</v>
      </c>
      <c r="G23" s="40">
        <f t="shared" ref="G23:G30" si="1">B23-D23</f>
        <v>-1900</v>
      </c>
      <c r="K23" s="1">
        <f>11737/24</f>
        <v>489.04166666666669</v>
      </c>
    </row>
    <row r="24" spans="1:12" x14ac:dyDescent="0.25">
      <c r="A24" s="5" t="s">
        <v>26</v>
      </c>
      <c r="B24" s="42">
        <f>500*12</f>
        <v>6000</v>
      </c>
      <c r="C24" s="40"/>
      <c r="D24" s="42">
        <f>500*12</f>
        <v>6000</v>
      </c>
      <c r="E24" s="40"/>
      <c r="F24" s="40">
        <v>6000</v>
      </c>
      <c r="G24" s="40">
        <f t="shared" si="1"/>
        <v>0</v>
      </c>
    </row>
    <row r="25" spans="1:12" x14ac:dyDescent="0.25">
      <c r="A25" s="5" t="s">
        <v>25</v>
      </c>
      <c r="B25" s="42">
        <v>500</v>
      </c>
      <c r="C25" s="40"/>
      <c r="D25" s="42">
        <v>500</v>
      </c>
      <c r="E25" s="40"/>
      <c r="F25" s="40">
        <v>500</v>
      </c>
      <c r="G25" s="40">
        <f t="shared" si="1"/>
        <v>0</v>
      </c>
    </row>
    <row r="26" spans="1:12" x14ac:dyDescent="0.25">
      <c r="A26" s="5" t="s">
        <v>24</v>
      </c>
      <c r="B26" s="42">
        <v>1700</v>
      </c>
      <c r="C26" s="40"/>
      <c r="D26" s="42">
        <v>1500</v>
      </c>
      <c r="E26" s="40"/>
      <c r="F26" s="40">
        <v>1500</v>
      </c>
      <c r="G26" s="40">
        <f t="shared" si="1"/>
        <v>200</v>
      </c>
    </row>
    <row r="27" spans="1:12" x14ac:dyDescent="0.25">
      <c r="A27" s="5" t="s">
        <v>23</v>
      </c>
      <c r="B27" s="42">
        <v>500</v>
      </c>
      <c r="C27" s="40"/>
      <c r="D27" s="42">
        <v>200</v>
      </c>
      <c r="E27" s="40"/>
      <c r="F27" s="40">
        <v>500</v>
      </c>
      <c r="G27" s="40">
        <f t="shared" si="1"/>
        <v>300</v>
      </c>
      <c r="I27" s="1">
        <f>123000/2</f>
        <v>61500</v>
      </c>
      <c r="K27" s="1">
        <f>11800/24</f>
        <v>491.66666666666669</v>
      </c>
    </row>
    <row r="28" spans="1:12" x14ac:dyDescent="0.25">
      <c r="A28" s="5" t="s">
        <v>22</v>
      </c>
      <c r="B28" s="42">
        <v>1000</v>
      </c>
      <c r="C28" s="40"/>
      <c r="D28" s="42">
        <v>200</v>
      </c>
      <c r="E28" s="40"/>
      <c r="F28" s="40">
        <v>200</v>
      </c>
      <c r="G28" s="40">
        <f t="shared" si="1"/>
        <v>800</v>
      </c>
      <c r="I28" s="1">
        <f>61500/24/2</f>
        <v>1281.25</v>
      </c>
      <c r="K28" s="1">
        <f>K27*6</f>
        <v>2950</v>
      </c>
    </row>
    <row r="29" spans="1:12" x14ac:dyDescent="0.25">
      <c r="A29" s="5" t="s">
        <v>21</v>
      </c>
      <c r="B29" s="42">
        <v>2000</v>
      </c>
      <c r="C29" s="40"/>
      <c r="D29" s="42">
        <v>1600</v>
      </c>
      <c r="E29" s="40"/>
      <c r="F29" s="40">
        <v>1600</v>
      </c>
      <c r="G29" s="40">
        <f t="shared" si="1"/>
        <v>400</v>
      </c>
    </row>
    <row r="30" spans="1:12" x14ac:dyDescent="0.25">
      <c r="A30" s="5" t="s">
        <v>20</v>
      </c>
      <c r="B30" s="42">
        <v>1600</v>
      </c>
      <c r="C30" s="40"/>
      <c r="D30" s="42">
        <v>1500</v>
      </c>
      <c r="E30" s="40"/>
      <c r="F30" s="40">
        <v>1500</v>
      </c>
      <c r="G30" s="40">
        <f t="shared" si="1"/>
        <v>100</v>
      </c>
    </row>
    <row r="31" spans="1:12" x14ac:dyDescent="0.25">
      <c r="A31" s="6" t="s">
        <v>19</v>
      </c>
      <c r="B31" s="52">
        <f>SUM(B23:B30)</f>
        <v>17900</v>
      </c>
      <c r="C31" s="39"/>
      <c r="D31" s="52">
        <f>SUM(D23:D30)</f>
        <v>18000</v>
      </c>
      <c r="E31" s="39"/>
      <c r="F31" s="39">
        <f>SUM(F23:F30)</f>
        <v>18300</v>
      </c>
      <c r="G31" s="40"/>
    </row>
    <row r="32" spans="1:12" x14ac:dyDescent="0.25">
      <c r="A32" s="7" t="s">
        <v>18</v>
      </c>
      <c r="B32" s="42"/>
      <c r="C32" s="40"/>
      <c r="D32" s="42"/>
      <c r="E32" s="40"/>
      <c r="F32" s="40"/>
      <c r="G32" s="40"/>
      <c r="I32" s="1">
        <f>I27/24</f>
        <v>2562.5</v>
      </c>
    </row>
    <row r="33" spans="1:14" x14ac:dyDescent="0.25">
      <c r="A33" s="5" t="s">
        <v>17</v>
      </c>
      <c r="B33" s="42">
        <v>4200</v>
      </c>
      <c r="C33" s="40"/>
      <c r="D33" s="42">
        <v>4800</v>
      </c>
      <c r="E33" s="40"/>
      <c r="F33" s="40">
        <v>4800</v>
      </c>
      <c r="G33" s="40">
        <f>B33-D33</f>
        <v>-600</v>
      </c>
      <c r="J33" s="1">
        <f>61500/6</f>
        <v>10250</v>
      </c>
    </row>
    <row r="34" spans="1:14" x14ac:dyDescent="0.25">
      <c r="A34" s="5" t="s">
        <v>16</v>
      </c>
      <c r="B34" s="42">
        <v>20000</v>
      </c>
      <c r="C34" s="40"/>
      <c r="D34" s="42">
        <v>18000</v>
      </c>
      <c r="E34" s="40"/>
      <c r="F34" s="40">
        <v>19000</v>
      </c>
      <c r="G34" s="40">
        <f>B34-D34</f>
        <v>2000</v>
      </c>
    </row>
    <row r="35" spans="1:14" x14ac:dyDescent="0.25">
      <c r="A35" s="5" t="s">
        <v>15</v>
      </c>
      <c r="B35" s="42">
        <v>550</v>
      </c>
      <c r="C35" s="40"/>
      <c r="D35" s="42">
        <v>550</v>
      </c>
      <c r="E35" s="40"/>
      <c r="F35" s="40">
        <v>550</v>
      </c>
      <c r="G35" s="40">
        <f>B35-D35</f>
        <v>0</v>
      </c>
    </row>
    <row r="36" spans="1:14" x14ac:dyDescent="0.25">
      <c r="A36" s="6" t="s">
        <v>14</v>
      </c>
      <c r="B36" s="52">
        <f>SUM(B33:B35)</f>
        <v>24750</v>
      </c>
      <c r="C36" s="39"/>
      <c r="D36" s="52">
        <f>SUM(D33:D35)</f>
        <v>23350</v>
      </c>
      <c r="E36" s="39"/>
      <c r="F36" s="39">
        <f>SUM(F33:F35)</f>
        <v>24350</v>
      </c>
      <c r="G36" s="40"/>
    </row>
    <row r="37" spans="1:14" x14ac:dyDescent="0.25">
      <c r="A37" s="6" t="s">
        <v>13</v>
      </c>
      <c r="B37" s="42"/>
      <c r="C37" s="40"/>
      <c r="D37" s="42"/>
      <c r="E37" s="40"/>
      <c r="F37" s="40"/>
      <c r="G37" s="40"/>
    </row>
    <row r="38" spans="1:14" x14ac:dyDescent="0.25">
      <c r="A38" s="5" t="s">
        <v>12</v>
      </c>
      <c r="B38" s="42">
        <v>250</v>
      </c>
      <c r="C38" s="40"/>
      <c r="D38" s="42">
        <v>250</v>
      </c>
      <c r="E38" s="40"/>
      <c r="F38" s="40">
        <v>200</v>
      </c>
      <c r="G38" s="40">
        <f t="shared" ref="G38:G45" si="2">B38-D38</f>
        <v>0</v>
      </c>
    </row>
    <row r="39" spans="1:14" x14ac:dyDescent="0.25">
      <c r="A39" s="5" t="s">
        <v>11</v>
      </c>
      <c r="B39" s="42">
        <v>400</v>
      </c>
      <c r="C39" s="40"/>
      <c r="D39" s="42">
        <v>400</v>
      </c>
      <c r="E39" s="40"/>
      <c r="F39" s="40">
        <v>400</v>
      </c>
      <c r="G39" s="40">
        <f t="shared" si="2"/>
        <v>0</v>
      </c>
    </row>
    <row r="40" spans="1:14" x14ac:dyDescent="0.25">
      <c r="A40" s="5" t="s">
        <v>10</v>
      </c>
      <c r="B40" s="42">
        <v>6500</v>
      </c>
      <c r="C40" s="40"/>
      <c r="D40" s="42">
        <v>14800</v>
      </c>
      <c r="E40" s="40"/>
      <c r="F40" s="40">
        <v>5000</v>
      </c>
      <c r="G40" s="40">
        <f t="shared" si="2"/>
        <v>-8300</v>
      </c>
    </row>
    <row r="41" spans="1:14" x14ac:dyDescent="0.25">
      <c r="A41" s="5" t="s">
        <v>9</v>
      </c>
      <c r="B41" s="42">
        <v>3000</v>
      </c>
      <c r="C41" s="40"/>
      <c r="D41" s="42">
        <v>2000</v>
      </c>
      <c r="E41" s="40"/>
      <c r="F41" s="40">
        <v>3000</v>
      </c>
      <c r="G41" s="40">
        <f t="shared" si="2"/>
        <v>1000</v>
      </c>
    </row>
    <row r="42" spans="1:14" x14ac:dyDescent="0.25">
      <c r="A42" s="5" t="s">
        <v>8</v>
      </c>
      <c r="B42" s="41">
        <v>1500</v>
      </c>
      <c r="C42" s="40"/>
      <c r="D42" s="41">
        <v>2600</v>
      </c>
      <c r="E42" s="40"/>
      <c r="F42" s="40">
        <v>500</v>
      </c>
      <c r="G42" s="40">
        <f t="shared" si="2"/>
        <v>-1100</v>
      </c>
    </row>
    <row r="43" spans="1:14" x14ac:dyDescent="0.25">
      <c r="A43" s="5" t="s">
        <v>7</v>
      </c>
      <c r="B43" s="41">
        <v>1400</v>
      </c>
      <c r="C43" s="40"/>
      <c r="D43" s="41">
        <v>2500</v>
      </c>
      <c r="E43" s="40"/>
      <c r="F43" s="40">
        <f>130*12</f>
        <v>1560</v>
      </c>
      <c r="G43" s="40">
        <f t="shared" si="2"/>
        <v>-1100</v>
      </c>
    </row>
    <row r="44" spans="1:14" x14ac:dyDescent="0.25">
      <c r="A44" s="5" t="s">
        <v>6</v>
      </c>
      <c r="B44" s="41">
        <v>4500</v>
      </c>
      <c r="C44" s="40"/>
      <c r="D44" s="41">
        <v>4600</v>
      </c>
      <c r="E44" s="40"/>
      <c r="F44" s="40">
        <v>2000</v>
      </c>
      <c r="G44" s="40">
        <f t="shared" si="2"/>
        <v>-100</v>
      </c>
    </row>
    <row r="45" spans="1:14" x14ac:dyDescent="0.25">
      <c r="A45" s="5" t="s">
        <v>5</v>
      </c>
      <c r="B45" s="41">
        <v>1000</v>
      </c>
      <c r="C45" s="40"/>
      <c r="D45" s="41">
        <v>4200</v>
      </c>
      <c r="E45" s="40"/>
      <c r="F45" s="40">
        <v>4000</v>
      </c>
      <c r="G45" s="40">
        <f t="shared" si="2"/>
        <v>-3200</v>
      </c>
    </row>
    <row r="46" spans="1:14" x14ac:dyDescent="0.25">
      <c r="A46" s="5" t="s">
        <v>4</v>
      </c>
      <c r="B46" s="46">
        <v>10521</v>
      </c>
      <c r="C46" s="40"/>
      <c r="D46" s="46">
        <v>40000</v>
      </c>
      <c r="E46" s="40"/>
      <c r="F46" s="40">
        <v>49000</v>
      </c>
      <c r="G46" s="40"/>
      <c r="N46" s="1">
        <f>1425*4*21</f>
        <v>119700</v>
      </c>
    </row>
    <row r="47" spans="1:14" x14ac:dyDescent="0.25">
      <c r="A47" s="10" t="s">
        <v>3</v>
      </c>
      <c r="B47" s="54">
        <f>SUM(B38:B46)</f>
        <v>29071</v>
      </c>
      <c r="C47" s="39"/>
      <c r="D47" s="54">
        <f>SUM(D38:D46)</f>
        <v>71350</v>
      </c>
      <c r="E47" s="39"/>
      <c r="F47" s="39">
        <f>SUM(F38:F46)</f>
        <v>65660</v>
      </c>
      <c r="G47" s="40"/>
    </row>
    <row r="48" spans="1:14" x14ac:dyDescent="0.25">
      <c r="A48" s="11" t="s">
        <v>2</v>
      </c>
      <c r="B48" s="41">
        <f>SUM(B21+B31+B36+B47)-B46</f>
        <v>136800</v>
      </c>
      <c r="C48" s="40"/>
      <c r="D48" s="41">
        <f>SUM(D21+D31+D36+D47)-D46</f>
        <v>152925</v>
      </c>
      <c r="E48" s="40"/>
      <c r="F48" s="40">
        <f>SUM(F21+F31+F36+F47)-F46</f>
        <v>143965</v>
      </c>
      <c r="G48" s="40">
        <f>B48-D48</f>
        <v>-16125</v>
      </c>
    </row>
    <row r="49" spans="1:4" x14ac:dyDescent="0.25">
      <c r="A49" s="4"/>
      <c r="B49" s="3"/>
      <c r="D49" s="3"/>
    </row>
    <row r="50" spans="1:4" ht="12.9" customHeight="1" x14ac:dyDescent="0.25">
      <c r="A50" s="65" t="s">
        <v>51</v>
      </c>
      <c r="B50" s="65"/>
      <c r="C50" s="65"/>
      <c r="D50" s="65"/>
    </row>
    <row r="51" spans="1:4" ht="12.9" customHeight="1" x14ac:dyDescent="0.25">
      <c r="A51" s="65"/>
      <c r="B51" s="65"/>
      <c r="C51" s="65"/>
      <c r="D51" s="65"/>
    </row>
    <row r="52" spans="1:4" x14ac:dyDescent="0.25">
      <c r="A52" s="47" t="s">
        <v>1</v>
      </c>
      <c r="B52" s="85">
        <v>24</v>
      </c>
      <c r="C52" s="86"/>
      <c r="D52" s="87"/>
    </row>
    <row r="53" spans="1:4" x14ac:dyDescent="0.25">
      <c r="A53" s="47" t="s">
        <v>0</v>
      </c>
      <c r="B53" s="85">
        <v>4</v>
      </c>
      <c r="C53" s="86"/>
      <c r="D53" s="87"/>
    </row>
    <row r="54" spans="1:4" x14ac:dyDescent="0.25">
      <c r="A54" s="50" t="s">
        <v>48</v>
      </c>
      <c r="B54" s="88">
        <f>SUM(F48/4)/24</f>
        <v>1499.6354166666667</v>
      </c>
      <c r="C54" s="89"/>
      <c r="D54" s="90"/>
    </row>
  </sheetData>
  <mergeCells count="5">
    <mergeCell ref="A1:G1"/>
    <mergeCell ref="A50:D51"/>
    <mergeCell ref="B52:D52"/>
    <mergeCell ref="B53:D53"/>
    <mergeCell ref="B54:D54"/>
  </mergeCells>
  <pageMargins left="0.25" right="0.25" top="0.75" bottom="0.75" header="0.3" footer="0.3"/>
  <pageSetup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E337-A39E-4BB4-8329-CF9D07542B85}">
  <sheetPr>
    <tabColor rgb="FFFFFF00"/>
  </sheetPr>
  <dimension ref="A1:M23"/>
  <sheetViews>
    <sheetView zoomScaleNormal="100" workbookViewId="0">
      <selection activeCell="H22" sqref="H22"/>
    </sheetView>
  </sheetViews>
  <sheetFormatPr defaultColWidth="9" defaultRowHeight="11.4" x14ac:dyDescent="0.2"/>
  <cols>
    <col min="1" max="1" width="17" bestFit="1" customWidth="1"/>
    <col min="2" max="2" width="11" bestFit="1" customWidth="1"/>
    <col min="3" max="3" width="12" bestFit="1" customWidth="1"/>
    <col min="4" max="4" width="15.625" bestFit="1" customWidth="1"/>
    <col min="5" max="5" width="12.625" bestFit="1" customWidth="1"/>
    <col min="6" max="6" width="14.125" customWidth="1"/>
    <col min="7" max="7" width="13.625" bestFit="1" customWidth="1"/>
    <col min="8" max="8" width="18.125" bestFit="1" customWidth="1"/>
    <col min="9" max="9" width="19.875" bestFit="1" customWidth="1"/>
    <col min="10" max="10" width="21.125" customWidth="1"/>
    <col min="11" max="11" width="11.625" customWidth="1"/>
    <col min="12" max="12" width="22.375" customWidth="1"/>
  </cols>
  <sheetData>
    <row r="1" spans="1:13" ht="22.8" x14ac:dyDescent="0.4">
      <c r="A1" s="72" t="s">
        <v>89</v>
      </c>
      <c r="B1" s="72"/>
      <c r="C1" s="72"/>
      <c r="D1" s="72"/>
      <c r="E1" s="72"/>
      <c r="F1" s="72"/>
      <c r="G1" s="72"/>
      <c r="H1" s="72"/>
    </row>
    <row r="2" spans="1:13" ht="12" thickBot="1" x14ac:dyDescent="0.25"/>
    <row r="3" spans="1:13" ht="15" x14ac:dyDescent="0.25">
      <c r="A3" s="12" t="s">
        <v>52</v>
      </c>
      <c r="B3" s="13" t="s">
        <v>53</v>
      </c>
      <c r="C3" s="13" t="s">
        <v>53</v>
      </c>
      <c r="D3" s="13" t="s">
        <v>54</v>
      </c>
      <c r="E3" s="14" t="s">
        <v>55</v>
      </c>
      <c r="F3" s="13" t="s">
        <v>56</v>
      </c>
      <c r="G3" s="13" t="s">
        <v>57</v>
      </c>
      <c r="H3" s="15" t="s">
        <v>58</v>
      </c>
      <c r="I3" s="15" t="s">
        <v>58</v>
      </c>
      <c r="J3" s="15" t="s">
        <v>58</v>
      </c>
      <c r="L3" s="16"/>
      <c r="M3" s="17"/>
    </row>
    <row r="4" spans="1:13" ht="15" x14ac:dyDescent="0.25">
      <c r="A4" s="18"/>
      <c r="B4" s="19" t="s">
        <v>59</v>
      </c>
      <c r="C4" s="19" t="s">
        <v>60</v>
      </c>
      <c r="D4" s="19" t="s">
        <v>61</v>
      </c>
      <c r="E4" s="20" t="s">
        <v>62</v>
      </c>
      <c r="F4" s="19" t="s">
        <v>63</v>
      </c>
      <c r="G4" s="19" t="s">
        <v>58</v>
      </c>
      <c r="H4" s="21" t="s">
        <v>90</v>
      </c>
      <c r="I4" s="21" t="s">
        <v>91</v>
      </c>
      <c r="J4" s="21" t="s">
        <v>94</v>
      </c>
      <c r="L4" s="16"/>
      <c r="M4" s="17"/>
    </row>
    <row r="5" spans="1:13" ht="15" x14ac:dyDescent="0.25">
      <c r="A5" s="18"/>
      <c r="B5" s="19"/>
      <c r="C5" s="19"/>
      <c r="D5" s="19"/>
      <c r="E5" s="20" t="s">
        <v>64</v>
      </c>
      <c r="F5" s="22">
        <v>44926</v>
      </c>
      <c r="G5" s="19" t="s">
        <v>65</v>
      </c>
      <c r="H5" s="21" t="s">
        <v>66</v>
      </c>
      <c r="I5" s="21" t="s">
        <v>67</v>
      </c>
      <c r="J5" s="21" t="s">
        <v>67</v>
      </c>
      <c r="L5" s="16"/>
      <c r="M5" s="17"/>
    </row>
    <row r="6" spans="1:13" ht="15" x14ac:dyDescent="0.25">
      <c r="A6" s="23" t="s">
        <v>68</v>
      </c>
      <c r="B6" s="24">
        <v>20</v>
      </c>
      <c r="C6" s="58">
        <v>110000</v>
      </c>
      <c r="D6" s="24">
        <v>4</v>
      </c>
      <c r="E6" s="59">
        <v>0.2</v>
      </c>
      <c r="F6" s="27">
        <v>0</v>
      </c>
      <c r="G6" s="27">
        <f>SUM(C6/D6)-F6</f>
        <v>27500</v>
      </c>
      <c r="H6" s="28">
        <f>SUM(C6/D6)</f>
        <v>27500</v>
      </c>
      <c r="I6" s="29">
        <f>C6/D6*0.4</f>
        <v>11000</v>
      </c>
      <c r="J6" s="29">
        <f>SUM(H6*0.2)</f>
        <v>5500</v>
      </c>
      <c r="L6" s="16" t="s">
        <v>92</v>
      </c>
      <c r="M6" s="17"/>
    </row>
    <row r="7" spans="1:13" ht="15" x14ac:dyDescent="0.25">
      <c r="A7" s="23" t="s">
        <v>69</v>
      </c>
      <c r="B7" s="24">
        <v>50</v>
      </c>
      <c r="C7" s="27">
        <v>80000</v>
      </c>
      <c r="D7" s="24">
        <v>49</v>
      </c>
      <c r="E7" s="59">
        <v>0.2</v>
      </c>
      <c r="F7" s="27">
        <v>0</v>
      </c>
      <c r="G7" s="27">
        <f t="shared" ref="G7:G10" si="0">SUM(C7/D7)-F7</f>
        <v>1632.6530612244899</v>
      </c>
      <c r="H7" s="28">
        <f t="shared" ref="H7:H10" si="1">SUM(C7/D7)</f>
        <v>1632.6530612244899</v>
      </c>
      <c r="I7" s="29">
        <f>C7/D7*0.4</f>
        <v>653.06122448979602</v>
      </c>
      <c r="J7" s="29">
        <f>SUM(H7*0.2)</f>
        <v>326.53061224489801</v>
      </c>
      <c r="L7" s="16" t="s">
        <v>93</v>
      </c>
      <c r="M7" s="17"/>
    </row>
    <row r="8" spans="1:13" ht="15" x14ac:dyDescent="0.25">
      <c r="A8" s="23" t="s">
        <v>70</v>
      </c>
      <c r="B8" s="24">
        <v>30</v>
      </c>
      <c r="C8" s="27">
        <v>10000</v>
      </c>
      <c r="D8" s="30">
        <v>2</v>
      </c>
      <c r="E8" s="59">
        <v>0.2</v>
      </c>
      <c r="F8" s="27">
        <v>0</v>
      </c>
      <c r="G8" s="27">
        <v>10000</v>
      </c>
      <c r="H8" s="28">
        <f t="shared" si="1"/>
        <v>5000</v>
      </c>
      <c r="I8" s="29">
        <f t="shared" ref="I8:I10" si="2">C8/D8*0.4</f>
        <v>2000</v>
      </c>
      <c r="J8" s="29">
        <f>SUM(H8*0.2)</f>
        <v>1000</v>
      </c>
      <c r="L8" s="16" t="s">
        <v>97</v>
      </c>
      <c r="M8" s="17"/>
    </row>
    <row r="9" spans="1:13" ht="15" x14ac:dyDescent="0.25">
      <c r="A9" s="23" t="s">
        <v>71</v>
      </c>
      <c r="B9" s="24">
        <v>20</v>
      </c>
      <c r="C9" s="27">
        <v>15000</v>
      </c>
      <c r="D9" s="24">
        <v>18</v>
      </c>
      <c r="E9" s="59">
        <v>0.2</v>
      </c>
      <c r="F9" s="27">
        <v>0</v>
      </c>
      <c r="G9" s="27">
        <f t="shared" si="0"/>
        <v>833.33333333333337</v>
      </c>
      <c r="H9" s="28">
        <f t="shared" si="1"/>
        <v>833.33333333333337</v>
      </c>
      <c r="I9" s="28">
        <f t="shared" si="2"/>
        <v>333.33333333333337</v>
      </c>
      <c r="J9" s="28">
        <f>SUM(G9*0.2)</f>
        <v>166.66666666666669</v>
      </c>
      <c r="L9" s="16"/>
      <c r="M9" s="17"/>
    </row>
    <row r="10" spans="1:13" ht="13.2" x14ac:dyDescent="0.25">
      <c r="A10" s="23" t="s">
        <v>72</v>
      </c>
      <c r="B10" s="24">
        <v>7</v>
      </c>
      <c r="C10" s="27">
        <v>25000</v>
      </c>
      <c r="D10" s="24">
        <v>3</v>
      </c>
      <c r="E10" s="59">
        <v>0.2</v>
      </c>
      <c r="F10" s="27">
        <v>0</v>
      </c>
      <c r="G10" s="27">
        <f t="shared" si="0"/>
        <v>8333.3333333333339</v>
      </c>
      <c r="H10" s="28">
        <f t="shared" si="1"/>
        <v>8333.3333333333339</v>
      </c>
      <c r="I10" s="28">
        <f t="shared" si="2"/>
        <v>3333.3333333333339</v>
      </c>
      <c r="J10" s="28">
        <f>SUM(G10*0.2)</f>
        <v>1666.666666666667</v>
      </c>
    </row>
    <row r="11" spans="1:13" ht="13.8" thickBot="1" x14ac:dyDescent="0.3">
      <c r="A11" s="31" t="s">
        <v>73</v>
      </c>
      <c r="B11" s="32"/>
      <c r="C11" s="33">
        <f>SUM(C6:C10)</f>
        <v>240000</v>
      </c>
      <c r="D11" s="32"/>
      <c r="E11" s="34">
        <f>SUM(E6:E10)</f>
        <v>1</v>
      </c>
      <c r="F11" s="33">
        <v>25000</v>
      </c>
      <c r="G11" s="33">
        <f>SUM(G6:G10)</f>
        <v>48299.319727891161</v>
      </c>
      <c r="H11" s="61">
        <f>SUM(H6:H10)</f>
        <v>43299.319727891161</v>
      </c>
      <c r="I11" s="35">
        <f>SUM(I6:I10)</f>
        <v>17319.727891156464</v>
      </c>
      <c r="J11" s="35">
        <f>SUM(J6:J10)</f>
        <v>8659.8639455782322</v>
      </c>
      <c r="L11" s="55"/>
    </row>
    <row r="12" spans="1:13" ht="12" thickBot="1" x14ac:dyDescent="0.25"/>
    <row r="13" spans="1:13" ht="13.8" x14ac:dyDescent="0.25">
      <c r="A13" s="73" t="s">
        <v>74</v>
      </c>
      <c r="B13" s="74"/>
      <c r="C13" s="75"/>
      <c r="D13" s="76" t="s">
        <v>75</v>
      </c>
      <c r="E13" s="76"/>
      <c r="F13" s="76"/>
      <c r="G13" s="76"/>
      <c r="H13" s="76"/>
      <c r="I13" s="76"/>
      <c r="J13" s="60"/>
      <c r="K13" s="60"/>
    </row>
    <row r="14" spans="1:13" ht="41.4" x14ac:dyDescent="0.25">
      <c r="A14" s="18" t="s">
        <v>76</v>
      </c>
      <c r="B14" s="77" t="s">
        <v>77</v>
      </c>
      <c r="C14" s="78"/>
      <c r="D14" s="79"/>
      <c r="E14" s="80" t="s">
        <v>78</v>
      </c>
      <c r="F14" s="80"/>
      <c r="G14" s="36" t="s">
        <v>79</v>
      </c>
      <c r="H14" s="37" t="s">
        <v>95</v>
      </c>
      <c r="I14" s="37" t="s">
        <v>80</v>
      </c>
      <c r="J14" s="37" t="s">
        <v>96</v>
      </c>
      <c r="K14" s="37" t="s">
        <v>80</v>
      </c>
    </row>
    <row r="15" spans="1:13" ht="13.2" x14ac:dyDescent="0.25">
      <c r="A15" s="23" t="s">
        <v>76</v>
      </c>
      <c r="B15" s="91">
        <f>SUM('1. Budget 2023'!B54:D54)</f>
        <v>1499.6354166666667</v>
      </c>
      <c r="C15" s="92"/>
      <c r="D15" s="93"/>
      <c r="E15" s="94">
        <f>SUM(H11/24)/4</f>
        <v>451.03458049886626</v>
      </c>
      <c r="F15" s="94"/>
      <c r="G15" s="56">
        <f>SUM(B15+E15)</f>
        <v>1950.669997165533</v>
      </c>
      <c r="H15" s="57">
        <f>SUM(I11/24/4)</f>
        <v>180.4138321995465</v>
      </c>
      <c r="I15" s="57">
        <f>SUM(H15+B15)</f>
        <v>1680.0492488662132</v>
      </c>
      <c r="J15" s="57">
        <f>J11/24/4</f>
        <v>90.206916099773252</v>
      </c>
      <c r="K15" s="57">
        <f>J15+B15</f>
        <v>1589.84233276644</v>
      </c>
    </row>
    <row r="16" spans="1:13" ht="12" thickBot="1" x14ac:dyDescent="0.25"/>
    <row r="17" spans="1:9" x14ac:dyDescent="0.2">
      <c r="A17" s="66" t="s">
        <v>81</v>
      </c>
      <c r="B17" s="67"/>
      <c r="C17" s="67"/>
      <c r="D17" s="67"/>
      <c r="E17" s="67"/>
      <c r="F17" s="67"/>
      <c r="G17" s="67"/>
      <c r="H17" s="67"/>
      <c r="I17" s="68"/>
    </row>
    <row r="18" spans="1:9" ht="42" customHeight="1" thickBot="1" x14ac:dyDescent="0.25">
      <c r="A18" s="69"/>
      <c r="B18" s="70"/>
      <c r="C18" s="70"/>
      <c r="D18" s="70"/>
      <c r="E18" s="70"/>
      <c r="F18" s="70"/>
      <c r="G18" s="70"/>
      <c r="H18" s="70"/>
      <c r="I18" s="71"/>
    </row>
    <row r="21" spans="1:9" x14ac:dyDescent="0.2">
      <c r="H21" s="55"/>
    </row>
    <row r="23" spans="1:9" x14ac:dyDescent="0.2">
      <c r="F23" s="55">
        <f>SUM(E15*4)</f>
        <v>1804.138321995465</v>
      </c>
    </row>
  </sheetData>
  <mergeCells count="8">
    <mergeCell ref="A17:I18"/>
    <mergeCell ref="A1:H1"/>
    <mergeCell ref="A13:C13"/>
    <mergeCell ref="D13:I13"/>
    <mergeCell ref="B14:D14"/>
    <mergeCell ref="E14:F14"/>
    <mergeCell ref="B15:D15"/>
    <mergeCell ref="E15:F15"/>
  </mergeCells>
  <pageMargins left="0.25" right="0.25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D124-74CD-403A-A2D3-BB270A952CFA}">
  <sheetPr>
    <tabColor rgb="FFFFFF00"/>
  </sheetPr>
  <dimension ref="A1:Q54"/>
  <sheetViews>
    <sheetView zoomScaleNormal="100" workbookViewId="0">
      <selection activeCell="F46" sqref="F46"/>
    </sheetView>
  </sheetViews>
  <sheetFormatPr defaultColWidth="9" defaultRowHeight="13.2" x14ac:dyDescent="0.25"/>
  <cols>
    <col min="1" max="1" width="42.875" style="2" bestFit="1" customWidth="1"/>
    <col min="2" max="2" width="12.25" style="1" bestFit="1" customWidth="1"/>
    <col min="3" max="3" width="2" style="1" customWidth="1"/>
    <col min="4" max="4" width="17.625" style="1" customWidth="1"/>
    <col min="5" max="5" width="2" style="1" customWidth="1"/>
    <col min="6" max="6" width="19.125" style="1" bestFit="1" customWidth="1"/>
    <col min="7" max="7" width="11.875" style="1" hidden="1" customWidth="1"/>
    <col min="8" max="8" width="9" style="1"/>
    <col min="9" max="9" width="11.625" style="1" bestFit="1" customWidth="1"/>
    <col min="10" max="16384" width="9" style="1"/>
  </cols>
  <sheetData>
    <row r="1" spans="1:10" ht="26.1" customHeight="1" x14ac:dyDescent="0.25">
      <c r="A1" s="64" t="s">
        <v>98</v>
      </c>
      <c r="B1" s="64"/>
      <c r="C1" s="64"/>
      <c r="D1" s="64"/>
      <c r="E1" s="64"/>
      <c r="F1" s="64"/>
      <c r="G1" s="64"/>
    </row>
    <row r="2" spans="1:10" x14ac:dyDescent="0.25">
      <c r="A2" s="8">
        <v>1</v>
      </c>
      <c r="B2" s="44">
        <v>2022</v>
      </c>
      <c r="C2" s="45"/>
      <c r="D2" s="44">
        <v>2022</v>
      </c>
      <c r="E2" s="45"/>
      <c r="F2" s="44">
        <v>2023</v>
      </c>
      <c r="G2" s="39" t="s">
        <v>50</v>
      </c>
    </row>
    <row r="3" spans="1:10" x14ac:dyDescent="0.25">
      <c r="A3" s="8"/>
      <c r="B3" s="39" t="s">
        <v>47</v>
      </c>
      <c r="C3" s="40"/>
      <c r="D3" s="39" t="s">
        <v>85</v>
      </c>
      <c r="E3" s="40"/>
      <c r="F3" s="39" t="s">
        <v>101</v>
      </c>
      <c r="G3" s="40"/>
    </row>
    <row r="4" spans="1:10" x14ac:dyDescent="0.25">
      <c r="A4" s="9"/>
      <c r="B4" s="39" t="s">
        <v>46</v>
      </c>
      <c r="C4" s="40"/>
      <c r="D4" s="39" t="s">
        <v>46</v>
      </c>
      <c r="E4" s="40"/>
      <c r="F4" s="39" t="s">
        <v>86</v>
      </c>
      <c r="G4" s="40"/>
    </row>
    <row r="5" spans="1:10" x14ac:dyDescent="0.25">
      <c r="A5" s="7" t="s">
        <v>45</v>
      </c>
      <c r="B5" s="40"/>
      <c r="C5" s="40"/>
      <c r="D5" s="40"/>
      <c r="E5" s="40"/>
      <c r="F5" s="40"/>
      <c r="G5" s="40"/>
    </row>
    <row r="6" spans="1:10" x14ac:dyDescent="0.25">
      <c r="A6" s="5" t="s">
        <v>44</v>
      </c>
      <c r="B6" s="41">
        <f>B48</f>
        <v>136800</v>
      </c>
      <c r="C6" s="40"/>
      <c r="D6" s="41">
        <f>1425*4*24</f>
        <v>136800</v>
      </c>
      <c r="E6" s="40"/>
      <c r="F6" s="40">
        <f>SUM(F48-F10-F8-F7)</f>
        <v>209854</v>
      </c>
      <c r="G6" s="40">
        <f>B6-D6</f>
        <v>0</v>
      </c>
    </row>
    <row r="7" spans="1:10" x14ac:dyDescent="0.25">
      <c r="A7" s="5" t="s">
        <v>43</v>
      </c>
      <c r="B7" s="42">
        <v>50</v>
      </c>
      <c r="C7" s="40"/>
      <c r="D7" s="42">
        <v>350</v>
      </c>
      <c r="E7" s="40"/>
      <c r="F7" s="40">
        <v>75</v>
      </c>
      <c r="G7" s="40"/>
    </row>
    <row r="8" spans="1:10" x14ac:dyDescent="0.25">
      <c r="A8" s="5" t="s">
        <v>42</v>
      </c>
      <c r="B8" s="42">
        <v>200</v>
      </c>
      <c r="C8" s="40"/>
      <c r="D8" s="42">
        <v>300</v>
      </c>
      <c r="E8" s="40"/>
      <c r="F8" s="40">
        <v>200</v>
      </c>
      <c r="G8" s="40"/>
    </row>
    <row r="9" spans="1:10" x14ac:dyDescent="0.25">
      <c r="A9" s="5" t="s">
        <v>41</v>
      </c>
      <c r="B9" s="42">
        <f>167*9*7</f>
        <v>10521</v>
      </c>
      <c r="C9" s="40"/>
      <c r="D9" s="42">
        <v>90000</v>
      </c>
      <c r="E9" s="40"/>
      <c r="F9" s="40">
        <f>37909+3507</f>
        <v>41416</v>
      </c>
      <c r="G9" s="40">
        <f>167*3*7</f>
        <v>3507</v>
      </c>
    </row>
    <row r="10" spans="1:10" x14ac:dyDescent="0.25">
      <c r="A10" s="5" t="s">
        <v>40</v>
      </c>
      <c r="B10" s="42">
        <v>10</v>
      </c>
      <c r="C10" s="40"/>
      <c r="D10" s="42">
        <v>10</v>
      </c>
      <c r="E10" s="40"/>
      <c r="F10" s="40">
        <v>10</v>
      </c>
      <c r="G10" s="40"/>
    </row>
    <row r="11" spans="1:10" x14ac:dyDescent="0.25">
      <c r="A11" s="6" t="s">
        <v>39</v>
      </c>
      <c r="B11" s="53">
        <f>SUM(B6:B10)</f>
        <v>147581</v>
      </c>
      <c r="C11" s="39"/>
      <c r="D11" s="53">
        <f>SUM(D6:D10)</f>
        <v>227460</v>
      </c>
      <c r="E11" s="39"/>
      <c r="F11" s="39">
        <f>SUM(F6:F10)-F9</f>
        <v>210139</v>
      </c>
      <c r="G11" s="40"/>
      <c r="I11" s="62">
        <f>F11/24/4</f>
        <v>2188.9479166666665</v>
      </c>
      <c r="J11" s="1">
        <v>1590</v>
      </c>
    </row>
    <row r="12" spans="1:10" x14ac:dyDescent="0.25">
      <c r="A12" s="7" t="s">
        <v>38</v>
      </c>
      <c r="B12" s="41"/>
      <c r="C12" s="40"/>
      <c r="D12" s="41"/>
      <c r="E12" s="40"/>
      <c r="F12" s="40"/>
      <c r="G12" s="40"/>
      <c r="J12" s="1">
        <f>(2781-1590)/3</f>
        <v>397</v>
      </c>
    </row>
    <row r="13" spans="1:10" x14ac:dyDescent="0.25">
      <c r="A13" s="5" t="s">
        <v>37</v>
      </c>
      <c r="B13" s="42">
        <v>5400</v>
      </c>
      <c r="C13" s="40"/>
      <c r="D13" s="42">
        <f>450*12</f>
        <v>5400</v>
      </c>
      <c r="E13" s="40"/>
      <c r="F13" s="40">
        <f>450*12</f>
        <v>5400</v>
      </c>
      <c r="G13" s="40">
        <f t="shared" ref="G13:G20" si="0">B13-D13</f>
        <v>0</v>
      </c>
    </row>
    <row r="14" spans="1:10" x14ac:dyDescent="0.25">
      <c r="A14" s="5" t="s">
        <v>36</v>
      </c>
      <c r="B14" s="42">
        <v>300</v>
      </c>
      <c r="C14" s="40"/>
      <c r="D14" s="42">
        <v>325</v>
      </c>
      <c r="E14" s="40"/>
      <c r="F14" s="40">
        <v>350</v>
      </c>
      <c r="G14" s="40">
        <f t="shared" si="0"/>
        <v>-25</v>
      </c>
    </row>
    <row r="15" spans="1:10" x14ac:dyDescent="0.25">
      <c r="A15" s="5" t="s">
        <v>35</v>
      </c>
      <c r="B15" s="42">
        <v>1000</v>
      </c>
      <c r="C15" s="40"/>
      <c r="D15" s="42">
        <v>1000</v>
      </c>
      <c r="E15" s="40"/>
      <c r="F15" s="40">
        <v>500</v>
      </c>
      <c r="G15" s="40">
        <f t="shared" si="0"/>
        <v>0</v>
      </c>
    </row>
    <row r="16" spans="1:10" x14ac:dyDescent="0.25">
      <c r="A16" s="5" t="s">
        <v>34</v>
      </c>
      <c r="B16" s="42">
        <v>300</v>
      </c>
      <c r="C16" s="40"/>
      <c r="D16" s="42">
        <v>700</v>
      </c>
      <c r="E16" s="40"/>
      <c r="F16" s="40">
        <v>600</v>
      </c>
      <c r="G16" s="40">
        <f t="shared" si="0"/>
        <v>-400</v>
      </c>
    </row>
    <row r="17" spans="1:17" x14ac:dyDescent="0.25">
      <c r="A17" s="5" t="s">
        <v>33</v>
      </c>
      <c r="B17" s="42">
        <v>50</v>
      </c>
      <c r="C17" s="40"/>
      <c r="D17" s="42">
        <v>50</v>
      </c>
      <c r="E17" s="40"/>
      <c r="F17" s="40">
        <v>55</v>
      </c>
      <c r="G17" s="40">
        <f t="shared" si="0"/>
        <v>0</v>
      </c>
      <c r="L17" s="1">
        <f>136800/24/4</f>
        <v>1425</v>
      </c>
    </row>
    <row r="18" spans="1:17" x14ac:dyDescent="0.25">
      <c r="A18" s="5" t="s">
        <v>32</v>
      </c>
      <c r="B18" s="42">
        <v>68000</v>
      </c>
      <c r="C18" s="40"/>
      <c r="D18" s="42">
        <v>72000</v>
      </c>
      <c r="E18" s="40"/>
      <c r="F18" s="40">
        <f>20274+124400</f>
        <v>144674</v>
      </c>
      <c r="G18" s="40">
        <f t="shared" si="0"/>
        <v>-4000</v>
      </c>
      <c r="H18" s="1">
        <f>156000</f>
        <v>156000</v>
      </c>
      <c r="I18" s="62">
        <f>H18-F18</f>
        <v>11326</v>
      </c>
    </row>
    <row r="19" spans="1:17" x14ac:dyDescent="0.25">
      <c r="A19" s="5" t="s">
        <v>31</v>
      </c>
      <c r="B19" s="42">
        <v>400</v>
      </c>
      <c r="C19" s="40"/>
      <c r="D19" s="42">
        <v>600</v>
      </c>
      <c r="E19" s="40"/>
      <c r="F19" s="40">
        <v>600</v>
      </c>
      <c r="G19" s="40">
        <f t="shared" si="0"/>
        <v>-200</v>
      </c>
      <c r="I19" s="62">
        <f>I18/24/9</f>
        <v>52.43518518518519</v>
      </c>
    </row>
    <row r="20" spans="1:17" x14ac:dyDescent="0.25">
      <c r="A20" s="5" t="s">
        <v>30</v>
      </c>
      <c r="B20" s="42">
        <v>150</v>
      </c>
      <c r="C20" s="40"/>
      <c r="D20" s="42">
        <v>150</v>
      </c>
      <c r="E20" s="40"/>
      <c r="F20" s="40">
        <v>150</v>
      </c>
      <c r="G20" s="40">
        <f t="shared" si="0"/>
        <v>0</v>
      </c>
    </row>
    <row r="21" spans="1:17" x14ac:dyDescent="0.25">
      <c r="A21" s="6" t="s">
        <v>29</v>
      </c>
      <c r="B21" s="52">
        <f>SUM(B13:B20)</f>
        <v>75600</v>
      </c>
      <c r="C21" s="39"/>
      <c r="D21" s="52">
        <f>SUM(D13:D20)</f>
        <v>80225</v>
      </c>
      <c r="E21" s="39"/>
      <c r="F21" s="39">
        <f>SUM(F13:F20)</f>
        <v>152329</v>
      </c>
      <c r="G21" s="40"/>
    </row>
    <row r="22" spans="1:17" x14ac:dyDescent="0.25">
      <c r="A22" s="7" t="s">
        <v>28</v>
      </c>
      <c r="B22" s="42"/>
      <c r="C22" s="40"/>
      <c r="D22" s="42"/>
      <c r="E22" s="40"/>
      <c r="F22" s="40"/>
      <c r="G22" s="40"/>
    </row>
    <row r="23" spans="1:17" x14ac:dyDescent="0.25">
      <c r="A23" s="5" t="s">
        <v>27</v>
      </c>
      <c r="B23" s="42">
        <v>4600</v>
      </c>
      <c r="C23" s="40"/>
      <c r="D23" s="42">
        <v>6500</v>
      </c>
      <c r="E23" s="40"/>
      <c r="F23" s="40">
        <v>6500</v>
      </c>
      <c r="G23" s="40">
        <f t="shared" ref="G23:G30" si="1">B23-D23</f>
        <v>-1900</v>
      </c>
      <c r="I23" s="1">
        <v>18153</v>
      </c>
      <c r="Q23" s="1">
        <f>6758*3</f>
        <v>20274</v>
      </c>
    </row>
    <row r="24" spans="1:17" x14ac:dyDescent="0.25">
      <c r="A24" s="5" t="s">
        <v>26</v>
      </c>
      <c r="B24" s="42">
        <f>500*12</f>
        <v>6000</v>
      </c>
      <c r="C24" s="40"/>
      <c r="D24" s="42">
        <f>500*12</f>
        <v>6000</v>
      </c>
      <c r="E24" s="40"/>
      <c r="F24" s="40">
        <v>6000</v>
      </c>
      <c r="G24" s="40">
        <f t="shared" si="1"/>
        <v>0</v>
      </c>
    </row>
    <row r="25" spans="1:17" x14ac:dyDescent="0.25">
      <c r="A25" s="5" t="s">
        <v>25</v>
      </c>
      <c r="B25" s="42">
        <v>500</v>
      </c>
      <c r="C25" s="40"/>
      <c r="D25" s="42">
        <v>500</v>
      </c>
      <c r="E25" s="40"/>
      <c r="F25" s="40">
        <v>500</v>
      </c>
      <c r="G25" s="40">
        <f t="shared" si="1"/>
        <v>0</v>
      </c>
      <c r="Q25" s="1">
        <f>124400</f>
        <v>124400</v>
      </c>
    </row>
    <row r="26" spans="1:17" x14ac:dyDescent="0.25">
      <c r="A26" s="5" t="s">
        <v>24</v>
      </c>
      <c r="B26" s="42">
        <v>1700</v>
      </c>
      <c r="C26" s="40"/>
      <c r="D26" s="42">
        <v>1500</v>
      </c>
      <c r="E26" s="40"/>
      <c r="F26" s="40">
        <v>1500</v>
      </c>
      <c r="G26" s="40">
        <f t="shared" si="1"/>
        <v>200</v>
      </c>
    </row>
    <row r="27" spans="1:17" x14ac:dyDescent="0.25">
      <c r="A27" s="5" t="s">
        <v>23</v>
      </c>
      <c r="B27" s="42">
        <v>500</v>
      </c>
      <c r="C27" s="40"/>
      <c r="D27" s="42">
        <v>200</v>
      </c>
      <c r="E27" s="40"/>
      <c r="F27" s="40">
        <v>500</v>
      </c>
      <c r="G27" s="40">
        <f t="shared" si="1"/>
        <v>300</v>
      </c>
    </row>
    <row r="28" spans="1:17" x14ac:dyDescent="0.25">
      <c r="A28" s="5" t="s">
        <v>22</v>
      </c>
      <c r="B28" s="42">
        <v>1000</v>
      </c>
      <c r="C28" s="40"/>
      <c r="D28" s="42">
        <v>200</v>
      </c>
      <c r="E28" s="40"/>
      <c r="F28" s="40">
        <v>200</v>
      </c>
      <c r="G28" s="40">
        <f t="shared" si="1"/>
        <v>800</v>
      </c>
    </row>
    <row r="29" spans="1:17" x14ac:dyDescent="0.25">
      <c r="A29" s="5" t="s">
        <v>21</v>
      </c>
      <c r="B29" s="42">
        <v>2000</v>
      </c>
      <c r="C29" s="40"/>
      <c r="D29" s="42">
        <v>1600</v>
      </c>
      <c r="E29" s="40"/>
      <c r="F29" s="40">
        <v>1600</v>
      </c>
      <c r="G29" s="40">
        <f t="shared" si="1"/>
        <v>400</v>
      </c>
      <c r="L29" s="1">
        <f>1500*24*2</f>
        <v>72000</v>
      </c>
    </row>
    <row r="30" spans="1:17" x14ac:dyDescent="0.25">
      <c r="A30" s="5" t="s">
        <v>20</v>
      </c>
      <c r="B30" s="42">
        <v>1600</v>
      </c>
      <c r="C30" s="40"/>
      <c r="D30" s="42">
        <v>1500</v>
      </c>
      <c r="E30" s="40"/>
      <c r="F30" s="40">
        <v>1500</v>
      </c>
      <c r="G30" s="40">
        <f t="shared" si="1"/>
        <v>100</v>
      </c>
      <c r="L30" s="1">
        <f>930*6*24</f>
        <v>133920</v>
      </c>
    </row>
    <row r="31" spans="1:17" x14ac:dyDescent="0.25">
      <c r="A31" s="6" t="s">
        <v>19</v>
      </c>
      <c r="B31" s="52">
        <f>SUM(B23:B30)</f>
        <v>17900</v>
      </c>
      <c r="C31" s="39"/>
      <c r="D31" s="52">
        <f>SUM(D23:D30)</f>
        <v>18000</v>
      </c>
      <c r="E31" s="39"/>
      <c r="F31" s="39">
        <f>SUM(F23:F30)</f>
        <v>18300</v>
      </c>
      <c r="G31" s="40"/>
      <c r="L31" s="1">
        <f>L29+L30</f>
        <v>205920</v>
      </c>
    </row>
    <row r="32" spans="1:17" x14ac:dyDescent="0.25">
      <c r="A32" s="7" t="s">
        <v>18</v>
      </c>
      <c r="B32" s="42"/>
      <c r="C32" s="40"/>
      <c r="D32" s="42"/>
      <c r="E32" s="40"/>
      <c r="F32" s="40"/>
      <c r="G32" s="40"/>
    </row>
    <row r="33" spans="1:14" x14ac:dyDescent="0.25">
      <c r="A33" s="5" t="s">
        <v>17</v>
      </c>
      <c r="B33" s="42">
        <v>4200</v>
      </c>
      <c r="C33" s="40"/>
      <c r="D33" s="42">
        <v>4800</v>
      </c>
      <c r="E33" s="40"/>
      <c r="F33" s="40">
        <v>4800</v>
      </c>
      <c r="G33" s="40">
        <f>B33-D33</f>
        <v>-600</v>
      </c>
    </row>
    <row r="34" spans="1:14" x14ac:dyDescent="0.25">
      <c r="A34" s="5" t="s">
        <v>16</v>
      </c>
      <c r="B34" s="42">
        <v>20000</v>
      </c>
      <c r="C34" s="40"/>
      <c r="D34" s="42">
        <v>18000</v>
      </c>
      <c r="E34" s="40"/>
      <c r="F34" s="40">
        <v>19000</v>
      </c>
      <c r="G34" s="40">
        <f>B34-D34</f>
        <v>2000</v>
      </c>
    </row>
    <row r="35" spans="1:14" x14ac:dyDescent="0.25">
      <c r="A35" s="5" t="s">
        <v>15</v>
      </c>
      <c r="B35" s="42">
        <v>550</v>
      </c>
      <c r="C35" s="40"/>
      <c r="D35" s="42">
        <v>550</v>
      </c>
      <c r="E35" s="40"/>
      <c r="F35" s="40">
        <v>550</v>
      </c>
      <c r="G35" s="40">
        <f>B35-D35</f>
        <v>0</v>
      </c>
    </row>
    <row r="36" spans="1:14" x14ac:dyDescent="0.25">
      <c r="A36" s="6" t="s">
        <v>14</v>
      </c>
      <c r="B36" s="52">
        <f>SUM(B33:B35)</f>
        <v>24750</v>
      </c>
      <c r="C36" s="39"/>
      <c r="D36" s="52">
        <f>SUM(D33:D35)</f>
        <v>23350</v>
      </c>
      <c r="E36" s="39"/>
      <c r="F36" s="39">
        <f>SUM(F33:F35)</f>
        <v>24350</v>
      </c>
      <c r="G36" s="40"/>
    </row>
    <row r="37" spans="1:14" x14ac:dyDescent="0.25">
      <c r="A37" s="6" t="s">
        <v>13</v>
      </c>
      <c r="B37" s="42"/>
      <c r="C37" s="40"/>
      <c r="D37" s="42"/>
      <c r="E37" s="40"/>
      <c r="F37" s="40"/>
      <c r="G37" s="40"/>
    </row>
    <row r="38" spans="1:14" x14ac:dyDescent="0.25">
      <c r="A38" s="5" t="s">
        <v>12</v>
      </c>
      <c r="B38" s="42">
        <v>250</v>
      </c>
      <c r="C38" s="40"/>
      <c r="D38" s="42">
        <v>250</v>
      </c>
      <c r="E38" s="40"/>
      <c r="F38" s="40">
        <v>200</v>
      </c>
      <c r="G38" s="40">
        <f t="shared" ref="G38:G45" si="2">B38-D38</f>
        <v>0</v>
      </c>
    </row>
    <row r="39" spans="1:14" x14ac:dyDescent="0.25">
      <c r="A39" s="5" t="s">
        <v>11</v>
      </c>
      <c r="B39" s="42">
        <v>400</v>
      </c>
      <c r="C39" s="40"/>
      <c r="D39" s="42">
        <v>400</v>
      </c>
      <c r="E39" s="40"/>
      <c r="F39" s="40">
        <v>400</v>
      </c>
      <c r="G39" s="40">
        <f t="shared" si="2"/>
        <v>0</v>
      </c>
    </row>
    <row r="40" spans="1:14" x14ac:dyDescent="0.25">
      <c r="A40" s="5" t="s">
        <v>10</v>
      </c>
      <c r="B40" s="42">
        <v>6500</v>
      </c>
      <c r="C40" s="40"/>
      <c r="D40" s="42">
        <v>14800</v>
      </c>
      <c r="E40" s="40"/>
      <c r="F40" s="40">
        <v>5000</v>
      </c>
      <c r="G40" s="40">
        <f t="shared" si="2"/>
        <v>-8300</v>
      </c>
    </row>
    <row r="41" spans="1:14" x14ac:dyDescent="0.25">
      <c r="A41" s="5" t="s">
        <v>9</v>
      </c>
      <c r="B41" s="42">
        <v>3000</v>
      </c>
      <c r="C41" s="40"/>
      <c r="D41" s="42">
        <v>2000</v>
      </c>
      <c r="E41" s="40"/>
      <c r="F41" s="40">
        <v>3000</v>
      </c>
      <c r="G41" s="40">
        <f t="shared" si="2"/>
        <v>1000</v>
      </c>
    </row>
    <row r="42" spans="1:14" x14ac:dyDescent="0.25">
      <c r="A42" s="5" t="s">
        <v>8</v>
      </c>
      <c r="B42" s="41">
        <v>1500</v>
      </c>
      <c r="C42" s="40"/>
      <c r="D42" s="41">
        <v>2600</v>
      </c>
      <c r="E42" s="40"/>
      <c r="F42" s="40">
        <v>500</v>
      </c>
      <c r="G42" s="40">
        <f t="shared" si="2"/>
        <v>-1100</v>
      </c>
    </row>
    <row r="43" spans="1:14" x14ac:dyDescent="0.25">
      <c r="A43" s="5" t="s">
        <v>7</v>
      </c>
      <c r="B43" s="41">
        <v>1400</v>
      </c>
      <c r="C43" s="40"/>
      <c r="D43" s="41">
        <v>2500</v>
      </c>
      <c r="E43" s="40"/>
      <c r="F43" s="40">
        <f>130*12</f>
        <v>1560</v>
      </c>
      <c r="G43" s="40">
        <f t="shared" si="2"/>
        <v>-1100</v>
      </c>
    </row>
    <row r="44" spans="1:14" x14ac:dyDescent="0.25">
      <c r="A44" s="5" t="s">
        <v>6</v>
      </c>
      <c r="B44" s="41">
        <v>4500</v>
      </c>
      <c r="C44" s="40"/>
      <c r="D44" s="41">
        <v>4600</v>
      </c>
      <c r="E44" s="40"/>
      <c r="F44" s="40">
        <v>2000</v>
      </c>
      <c r="G44" s="40">
        <f t="shared" si="2"/>
        <v>-100</v>
      </c>
    </row>
    <row r="45" spans="1:14" x14ac:dyDescent="0.25">
      <c r="A45" s="5" t="s">
        <v>5</v>
      </c>
      <c r="B45" s="41">
        <v>1000</v>
      </c>
      <c r="C45" s="40"/>
      <c r="D45" s="41">
        <v>4200</v>
      </c>
      <c r="E45" s="40"/>
      <c r="F45" s="40">
        <v>2500</v>
      </c>
      <c r="G45" s="40">
        <f t="shared" si="2"/>
        <v>-3200</v>
      </c>
    </row>
    <row r="46" spans="1:14" x14ac:dyDescent="0.25">
      <c r="A46" s="5" t="s">
        <v>4</v>
      </c>
      <c r="B46" s="46">
        <v>10521</v>
      </c>
      <c r="C46" s="40"/>
      <c r="D46" s="46">
        <v>40000</v>
      </c>
      <c r="E46" s="40"/>
      <c r="F46" s="40">
        <v>49000</v>
      </c>
      <c r="G46" s="40"/>
      <c r="J46" s="1">
        <f>1590+1200</f>
        <v>2790</v>
      </c>
      <c r="N46" s="1">
        <f>1425*4*21</f>
        <v>119700</v>
      </c>
    </row>
    <row r="47" spans="1:14" x14ac:dyDescent="0.25">
      <c r="A47" s="10" t="s">
        <v>3</v>
      </c>
      <c r="B47" s="54">
        <f>SUM(B38:B46)</f>
        <v>29071</v>
      </c>
      <c r="C47" s="39"/>
      <c r="D47" s="54">
        <f>SUM(D38:D46)</f>
        <v>71350</v>
      </c>
      <c r="E47" s="39"/>
      <c r="F47" s="39">
        <f>SUM(F38:F46)</f>
        <v>64160</v>
      </c>
      <c r="G47" s="40"/>
    </row>
    <row r="48" spans="1:14" x14ac:dyDescent="0.25">
      <c r="A48" s="11" t="s">
        <v>2</v>
      </c>
      <c r="B48" s="41">
        <f>SUM(B21+B31+B36+B47)-B46</f>
        <v>136800</v>
      </c>
      <c r="C48" s="40"/>
      <c r="D48" s="41">
        <f>SUM(D21+D31+D36+D47)-D46</f>
        <v>152925</v>
      </c>
      <c r="E48" s="40"/>
      <c r="F48" s="40">
        <f>SUM(F21+F31+F36+F47)-F46</f>
        <v>210139</v>
      </c>
      <c r="G48" s="40">
        <f>B48-D48</f>
        <v>-16125</v>
      </c>
    </row>
    <row r="49" spans="1:12" x14ac:dyDescent="0.25">
      <c r="A49" s="4"/>
      <c r="B49" s="3"/>
      <c r="D49" s="3"/>
      <c r="L49" s="1">
        <f>1500*2*24</f>
        <v>72000</v>
      </c>
    </row>
    <row r="50" spans="1:12" ht="12.9" customHeight="1" x14ac:dyDescent="0.25">
      <c r="A50" s="65" t="s">
        <v>102</v>
      </c>
      <c r="B50" s="65"/>
      <c r="C50" s="65"/>
      <c r="D50" s="65"/>
      <c r="L50" s="1">
        <f>930*6*24</f>
        <v>133920</v>
      </c>
    </row>
    <row r="51" spans="1:12" ht="12.9" customHeight="1" x14ac:dyDescent="0.25">
      <c r="A51" s="65"/>
      <c r="B51" s="65"/>
      <c r="C51" s="65"/>
      <c r="D51" s="65"/>
      <c r="L51" s="1">
        <f>L49+L50</f>
        <v>205920</v>
      </c>
    </row>
    <row r="52" spans="1:12" x14ac:dyDescent="0.25">
      <c r="A52" s="47" t="s">
        <v>1</v>
      </c>
      <c r="B52" s="85">
        <v>24</v>
      </c>
      <c r="C52" s="86"/>
      <c r="D52" s="87"/>
    </row>
    <row r="53" spans="1:12" x14ac:dyDescent="0.25">
      <c r="A53" s="47" t="s">
        <v>99</v>
      </c>
      <c r="B53" s="85">
        <v>930</v>
      </c>
      <c r="C53" s="86"/>
      <c r="D53" s="87"/>
    </row>
    <row r="54" spans="1:12" x14ac:dyDescent="0.25">
      <c r="A54" s="50" t="s">
        <v>100</v>
      </c>
      <c r="B54" s="88">
        <v>930</v>
      </c>
      <c r="C54" s="89"/>
      <c r="D54" s="90"/>
    </row>
  </sheetData>
  <mergeCells count="5">
    <mergeCell ref="A1:G1"/>
    <mergeCell ref="A50:D51"/>
    <mergeCell ref="B52:D52"/>
    <mergeCell ref="B53:D53"/>
    <mergeCell ref="B54:D54"/>
  </mergeCells>
  <pageMargins left="0.25" right="0.25" top="0.75" bottom="0.75" header="0.3" footer="0.3"/>
  <pageSetup scale="68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3A9D-9279-4C9F-BD26-5AC648DE8B78}">
  <sheetPr>
    <tabColor theme="9" tint="0.59999389629810485"/>
  </sheetPr>
  <dimension ref="A1:Q65"/>
  <sheetViews>
    <sheetView tabSelected="1" zoomScaleNormal="100" workbookViewId="0">
      <selection activeCell="I3" sqref="I3"/>
    </sheetView>
  </sheetViews>
  <sheetFormatPr defaultColWidth="9" defaultRowHeight="13.2" x14ac:dyDescent="0.25"/>
  <cols>
    <col min="1" max="1" width="42.875" style="2" bestFit="1" customWidth="1"/>
    <col min="2" max="2" width="12.25" style="1" bestFit="1" customWidth="1"/>
    <col min="3" max="3" width="2" style="1" customWidth="1"/>
    <col min="4" max="4" width="17.625" style="1" customWidth="1"/>
    <col min="5" max="5" width="2" style="1" customWidth="1"/>
    <col min="6" max="6" width="19.125" style="1" bestFit="1" customWidth="1"/>
    <col min="7" max="7" width="11.875" style="1" hidden="1" customWidth="1"/>
    <col min="8" max="8" width="9" style="1"/>
    <col min="9" max="9" width="13.875" style="1" bestFit="1" customWidth="1"/>
    <col min="10" max="10" width="12" style="1" bestFit="1" customWidth="1"/>
    <col min="11" max="16384" width="9" style="1"/>
  </cols>
  <sheetData>
    <row r="1" spans="1:11" ht="26.1" customHeight="1" x14ac:dyDescent="0.25">
      <c r="A1" s="64" t="s">
        <v>103</v>
      </c>
      <c r="B1" s="64"/>
      <c r="C1" s="64"/>
      <c r="D1" s="64"/>
      <c r="E1" s="64"/>
      <c r="F1" s="64"/>
      <c r="G1" s="64"/>
    </row>
    <row r="2" spans="1:11" x14ac:dyDescent="0.25">
      <c r="A2" s="8">
        <v>1</v>
      </c>
      <c r="B2" s="44">
        <v>2023</v>
      </c>
      <c r="C2" s="45"/>
      <c r="D2" s="44">
        <v>2023</v>
      </c>
      <c r="E2" s="45"/>
      <c r="F2" s="44">
        <v>2024</v>
      </c>
      <c r="G2" s="39" t="s">
        <v>50</v>
      </c>
    </row>
    <row r="3" spans="1:11" x14ac:dyDescent="0.25">
      <c r="A3" s="8"/>
      <c r="B3" s="39" t="s">
        <v>47</v>
      </c>
      <c r="C3" s="40"/>
      <c r="D3" s="39" t="s">
        <v>85</v>
      </c>
      <c r="E3" s="40"/>
      <c r="F3" s="39" t="s">
        <v>87</v>
      </c>
      <c r="G3" s="40"/>
    </row>
    <row r="4" spans="1:11" x14ac:dyDescent="0.25">
      <c r="A4" s="63" t="s">
        <v>104</v>
      </c>
      <c r="B4" s="39" t="s">
        <v>46</v>
      </c>
      <c r="C4" s="40"/>
      <c r="D4" s="39" t="s">
        <v>46</v>
      </c>
      <c r="E4" s="40"/>
      <c r="F4" s="39" t="s">
        <v>86</v>
      </c>
      <c r="G4" s="40"/>
    </row>
    <row r="5" spans="1:11" x14ac:dyDescent="0.25">
      <c r="A5" s="7" t="s">
        <v>45</v>
      </c>
      <c r="B5" s="40"/>
      <c r="C5" s="40"/>
      <c r="D5" s="40"/>
      <c r="E5" s="40"/>
      <c r="F5" s="40"/>
      <c r="G5" s="40"/>
    </row>
    <row r="6" spans="1:11" x14ac:dyDescent="0.25">
      <c r="A6" s="5" t="s">
        <v>44</v>
      </c>
      <c r="B6" s="40">
        <f>SUM(B48-B10-B8-B7)</f>
        <v>209854</v>
      </c>
      <c r="C6" s="40"/>
      <c r="D6" s="41">
        <v>162000</v>
      </c>
      <c r="E6" s="40"/>
      <c r="F6" s="40">
        <f>I8</f>
        <v>247748</v>
      </c>
      <c r="G6" s="40">
        <f>B6-D6</f>
        <v>47854</v>
      </c>
    </row>
    <row r="7" spans="1:11" x14ac:dyDescent="0.25">
      <c r="A7" s="5" t="s">
        <v>43</v>
      </c>
      <c r="B7" s="40">
        <v>75</v>
      </c>
      <c r="C7" s="40"/>
      <c r="D7" s="42">
        <v>350</v>
      </c>
      <c r="E7" s="40"/>
      <c r="F7" s="40">
        <v>75</v>
      </c>
      <c r="G7" s="40"/>
    </row>
    <row r="8" spans="1:11" x14ac:dyDescent="0.25">
      <c r="A8" s="5" t="s">
        <v>42</v>
      </c>
      <c r="B8" s="40">
        <v>200</v>
      </c>
      <c r="C8" s="40"/>
      <c r="D8" s="42">
        <v>300</v>
      </c>
      <c r="E8" s="40"/>
      <c r="F8" s="40">
        <v>200</v>
      </c>
      <c r="G8" s="40"/>
      <c r="I8" s="62">
        <f>(248033-F7-F8-F10)</f>
        <v>247748</v>
      </c>
      <c r="K8" s="62">
        <f>I8/12/24</f>
        <v>860.2361111111112</v>
      </c>
    </row>
    <row r="9" spans="1:11" x14ac:dyDescent="0.25">
      <c r="A9" s="5" t="s">
        <v>41</v>
      </c>
      <c r="B9" s="40">
        <f>37909+3507</f>
        <v>41416</v>
      </c>
      <c r="C9" s="40"/>
      <c r="D9" s="42">
        <v>37000</v>
      </c>
      <c r="E9" s="40"/>
      <c r="F9" s="40">
        <f>F46</f>
        <v>25632</v>
      </c>
      <c r="G9" s="40">
        <f>167*3*7</f>
        <v>3507</v>
      </c>
    </row>
    <row r="10" spans="1:11" x14ac:dyDescent="0.25">
      <c r="A10" s="5" t="s">
        <v>40</v>
      </c>
      <c r="B10" s="40">
        <v>10</v>
      </c>
      <c r="C10" s="40"/>
      <c r="D10" s="42">
        <v>10</v>
      </c>
      <c r="E10" s="40"/>
      <c r="F10" s="40">
        <v>10</v>
      </c>
      <c r="G10" s="40"/>
    </row>
    <row r="11" spans="1:11" x14ac:dyDescent="0.25">
      <c r="A11" s="6" t="s">
        <v>39</v>
      </c>
      <c r="B11" s="53">
        <f>SUM(B6:B10)</f>
        <v>251555</v>
      </c>
      <c r="C11" s="39"/>
      <c r="D11" s="53">
        <f>SUM(D6:D10)</f>
        <v>199660</v>
      </c>
      <c r="E11" s="39"/>
      <c r="F11" s="39">
        <f>SUM(F6:F10)</f>
        <v>273665</v>
      </c>
      <c r="G11" s="40"/>
      <c r="I11" s="62">
        <f>F11/24/4</f>
        <v>2850.6770833333335</v>
      </c>
      <c r="J11" s="1">
        <v>1590</v>
      </c>
    </row>
    <row r="12" spans="1:11" x14ac:dyDescent="0.25">
      <c r="A12" s="7" t="s">
        <v>38</v>
      </c>
      <c r="B12" s="41"/>
      <c r="C12" s="40"/>
      <c r="D12" s="41"/>
      <c r="E12" s="40"/>
      <c r="F12" s="40"/>
      <c r="G12" s="40"/>
      <c r="J12" s="1">
        <f>(2781-1590)/3</f>
        <v>397</v>
      </c>
    </row>
    <row r="13" spans="1:11" x14ac:dyDescent="0.25">
      <c r="A13" s="5" t="s">
        <v>37</v>
      </c>
      <c r="B13" s="40">
        <f>450*12</f>
        <v>5400</v>
      </c>
      <c r="C13" s="40"/>
      <c r="D13" s="42">
        <f>450*12</f>
        <v>5400</v>
      </c>
      <c r="E13" s="40"/>
      <c r="F13" s="40">
        <f>450*12</f>
        <v>5400</v>
      </c>
      <c r="G13" s="40">
        <f t="shared" ref="G13:G20" si="0">B13-D13</f>
        <v>0</v>
      </c>
    </row>
    <row r="14" spans="1:11" x14ac:dyDescent="0.25">
      <c r="A14" s="5" t="s">
        <v>36</v>
      </c>
      <c r="B14" s="40">
        <v>350</v>
      </c>
      <c r="C14" s="40"/>
      <c r="D14" s="42">
        <v>350</v>
      </c>
      <c r="E14" s="40"/>
      <c r="F14" s="40">
        <v>350</v>
      </c>
      <c r="G14" s="40">
        <f t="shared" si="0"/>
        <v>0</v>
      </c>
    </row>
    <row r="15" spans="1:11" x14ac:dyDescent="0.25">
      <c r="A15" s="5" t="s">
        <v>35</v>
      </c>
      <c r="B15" s="40">
        <v>500</v>
      </c>
      <c r="C15" s="40"/>
      <c r="D15" s="42">
        <v>500</v>
      </c>
      <c r="E15" s="40"/>
      <c r="F15" s="40">
        <v>500</v>
      </c>
      <c r="G15" s="40">
        <f t="shared" si="0"/>
        <v>0</v>
      </c>
    </row>
    <row r="16" spans="1:11" x14ac:dyDescent="0.25">
      <c r="A16" s="5" t="s">
        <v>34</v>
      </c>
      <c r="B16" s="40">
        <v>600</v>
      </c>
      <c r="C16" s="40"/>
      <c r="D16" s="42">
        <v>600</v>
      </c>
      <c r="E16" s="40"/>
      <c r="F16" s="40">
        <v>600</v>
      </c>
      <c r="G16" s="40">
        <f t="shared" si="0"/>
        <v>0</v>
      </c>
      <c r="I16" s="1" t="e" cm="1">
        <f t="array" ref="I16">F</f>
        <v>#NAME?</v>
      </c>
    </row>
    <row r="17" spans="1:17" x14ac:dyDescent="0.25">
      <c r="A17" s="5" t="s">
        <v>33</v>
      </c>
      <c r="B17" s="40">
        <v>55</v>
      </c>
      <c r="C17" s="40"/>
      <c r="D17" s="42">
        <v>50</v>
      </c>
      <c r="E17" s="40"/>
      <c r="F17" s="40">
        <v>55</v>
      </c>
      <c r="G17" s="40">
        <f t="shared" si="0"/>
        <v>5</v>
      </c>
      <c r="L17" s="1">
        <f>136800/24/4</f>
        <v>1425</v>
      </c>
    </row>
    <row r="18" spans="1:17" x14ac:dyDescent="0.25">
      <c r="A18" s="5" t="s">
        <v>32</v>
      </c>
      <c r="B18" s="40">
        <f>20274+124400</f>
        <v>144674</v>
      </c>
      <c r="C18" s="40"/>
      <c r="D18" s="42">
        <v>93500</v>
      </c>
      <c r="E18" s="40"/>
      <c r="F18" s="40">
        <v>204000</v>
      </c>
      <c r="G18" s="40">
        <f t="shared" si="0"/>
        <v>51174</v>
      </c>
      <c r="H18" s="1">
        <f>156000</f>
        <v>156000</v>
      </c>
      <c r="I18" s="62">
        <f>H18-F18</f>
        <v>-48000</v>
      </c>
    </row>
    <row r="19" spans="1:17" x14ac:dyDescent="0.25">
      <c r="A19" s="5" t="s">
        <v>31</v>
      </c>
      <c r="B19" s="40">
        <v>600</v>
      </c>
      <c r="C19" s="40"/>
      <c r="D19" s="42">
        <v>600</v>
      </c>
      <c r="E19" s="40"/>
      <c r="F19" s="40">
        <v>600</v>
      </c>
      <c r="G19" s="40">
        <f t="shared" si="0"/>
        <v>0</v>
      </c>
      <c r="I19" s="62">
        <f>I18/24/9</f>
        <v>-222.22222222222223</v>
      </c>
    </row>
    <row r="20" spans="1:17" x14ac:dyDescent="0.25">
      <c r="A20" s="5" t="s">
        <v>30</v>
      </c>
      <c r="B20" s="40">
        <v>150</v>
      </c>
      <c r="C20" s="40"/>
      <c r="D20" s="42">
        <v>150</v>
      </c>
      <c r="E20" s="40"/>
      <c r="F20" s="40">
        <v>150</v>
      </c>
      <c r="G20" s="40">
        <f t="shared" si="0"/>
        <v>0</v>
      </c>
    </row>
    <row r="21" spans="1:17" x14ac:dyDescent="0.25">
      <c r="A21" s="6" t="s">
        <v>29</v>
      </c>
      <c r="B21" s="52">
        <f>SUM(B13:B20)</f>
        <v>152329</v>
      </c>
      <c r="C21" s="39"/>
      <c r="D21" s="52">
        <f>SUM(D13:D20)</f>
        <v>101150</v>
      </c>
      <c r="E21" s="39"/>
      <c r="F21" s="39">
        <f>SUM(F13:F20)</f>
        <v>211655</v>
      </c>
      <c r="G21" s="40"/>
    </row>
    <row r="22" spans="1:17" x14ac:dyDescent="0.25">
      <c r="A22" s="7" t="s">
        <v>28</v>
      </c>
      <c r="B22" s="42"/>
      <c r="C22" s="40"/>
      <c r="D22" s="42"/>
      <c r="E22" s="40"/>
      <c r="F22" s="40"/>
      <c r="G22" s="40"/>
    </row>
    <row r="23" spans="1:17" x14ac:dyDescent="0.25">
      <c r="A23" s="5" t="s">
        <v>27</v>
      </c>
      <c r="B23" s="40">
        <v>6500</v>
      </c>
      <c r="C23" s="40"/>
      <c r="D23" s="42">
        <v>5000</v>
      </c>
      <c r="E23" s="40"/>
      <c r="F23" s="40">
        <v>6500</v>
      </c>
      <c r="G23" s="40">
        <f t="shared" ref="G23:G30" si="1">B23-D23</f>
        <v>1500</v>
      </c>
      <c r="I23" s="1">
        <v>18153</v>
      </c>
      <c r="Q23" s="1">
        <f>6758*3</f>
        <v>20274</v>
      </c>
    </row>
    <row r="24" spans="1:17" x14ac:dyDescent="0.25">
      <c r="A24" s="5" t="s">
        <v>26</v>
      </c>
      <c r="B24" s="40">
        <v>6000</v>
      </c>
      <c r="C24" s="40"/>
      <c r="D24" s="42">
        <v>5000</v>
      </c>
      <c r="E24" s="40"/>
      <c r="F24" s="40">
        <v>6000</v>
      </c>
      <c r="G24" s="40">
        <f t="shared" si="1"/>
        <v>1000</v>
      </c>
    </row>
    <row r="25" spans="1:17" x14ac:dyDescent="0.25">
      <c r="A25" s="5" t="s">
        <v>25</v>
      </c>
      <c r="B25" s="40">
        <v>500</v>
      </c>
      <c r="C25" s="40"/>
      <c r="D25" s="42">
        <v>500</v>
      </c>
      <c r="E25" s="40"/>
      <c r="F25" s="40">
        <v>500</v>
      </c>
      <c r="G25" s="40">
        <f t="shared" si="1"/>
        <v>0</v>
      </c>
      <c r="Q25" s="1">
        <f>124400</f>
        <v>124400</v>
      </c>
    </row>
    <row r="26" spans="1:17" x14ac:dyDescent="0.25">
      <c r="A26" s="5" t="s">
        <v>24</v>
      </c>
      <c r="B26" s="40">
        <v>1500</v>
      </c>
      <c r="C26" s="40"/>
      <c r="D26" s="42">
        <v>3000</v>
      </c>
      <c r="E26" s="40"/>
      <c r="F26" s="40">
        <v>1500</v>
      </c>
      <c r="G26" s="40">
        <f t="shared" si="1"/>
        <v>-1500</v>
      </c>
    </row>
    <row r="27" spans="1:17" x14ac:dyDescent="0.25">
      <c r="A27" s="5" t="s">
        <v>23</v>
      </c>
      <c r="B27" s="40">
        <v>500</v>
      </c>
      <c r="C27" s="40"/>
      <c r="D27" s="42">
        <v>200</v>
      </c>
      <c r="E27" s="40"/>
      <c r="F27" s="40">
        <v>500</v>
      </c>
      <c r="G27" s="40">
        <f t="shared" si="1"/>
        <v>300</v>
      </c>
    </row>
    <row r="28" spans="1:17" x14ac:dyDescent="0.25">
      <c r="A28" s="5" t="s">
        <v>22</v>
      </c>
      <c r="B28" s="40">
        <v>200</v>
      </c>
      <c r="C28" s="40"/>
      <c r="D28" s="42">
        <v>200</v>
      </c>
      <c r="E28" s="40"/>
      <c r="F28" s="40">
        <v>200</v>
      </c>
      <c r="G28" s="40">
        <f t="shared" si="1"/>
        <v>0</v>
      </c>
    </row>
    <row r="29" spans="1:17" x14ac:dyDescent="0.25">
      <c r="A29" s="5" t="s">
        <v>21</v>
      </c>
      <c r="B29" s="40">
        <v>1600</v>
      </c>
      <c r="C29" s="40"/>
      <c r="D29" s="42">
        <v>1200</v>
      </c>
      <c r="E29" s="40"/>
      <c r="F29" s="40">
        <v>1600</v>
      </c>
      <c r="G29" s="40">
        <f t="shared" si="1"/>
        <v>400</v>
      </c>
      <c r="L29" s="1">
        <f>1500*24*2</f>
        <v>72000</v>
      </c>
    </row>
    <row r="30" spans="1:17" x14ac:dyDescent="0.25">
      <c r="A30" s="5" t="s">
        <v>20</v>
      </c>
      <c r="B30" s="40">
        <v>1500</v>
      </c>
      <c r="C30" s="40"/>
      <c r="D30" s="42">
        <v>1500</v>
      </c>
      <c r="E30" s="40"/>
      <c r="F30" s="40">
        <v>0</v>
      </c>
      <c r="G30" s="40">
        <f t="shared" si="1"/>
        <v>0</v>
      </c>
      <c r="J30" s="62">
        <f>F48-F46</f>
        <v>246533</v>
      </c>
      <c r="L30" s="1">
        <f>930*6*24</f>
        <v>133920</v>
      </c>
    </row>
    <row r="31" spans="1:17" x14ac:dyDescent="0.25">
      <c r="A31" s="6" t="s">
        <v>19</v>
      </c>
      <c r="B31" s="52">
        <f>SUM(B23:B30)</f>
        <v>18300</v>
      </c>
      <c r="C31" s="39"/>
      <c r="D31" s="52">
        <f>SUM(D23:D30)</f>
        <v>16600</v>
      </c>
      <c r="E31" s="39"/>
      <c r="F31" s="39">
        <f>SUM(F23:F30)</f>
        <v>16800</v>
      </c>
      <c r="G31" s="40"/>
      <c r="L31" s="1">
        <f>L29+L30</f>
        <v>205920</v>
      </c>
    </row>
    <row r="32" spans="1:17" x14ac:dyDescent="0.25">
      <c r="A32" s="7" t="s">
        <v>18</v>
      </c>
      <c r="B32" s="42"/>
      <c r="C32" s="40"/>
      <c r="D32" s="42"/>
      <c r="E32" s="40"/>
      <c r="F32" s="40"/>
      <c r="G32" s="40"/>
    </row>
    <row r="33" spans="1:14" x14ac:dyDescent="0.25">
      <c r="A33" s="5" t="s">
        <v>17</v>
      </c>
      <c r="B33" s="40">
        <v>4800</v>
      </c>
      <c r="C33" s="40"/>
      <c r="D33" s="42">
        <v>9000</v>
      </c>
      <c r="E33" s="40"/>
      <c r="F33" s="40">
        <v>9000</v>
      </c>
      <c r="G33" s="40">
        <f>B33-D33</f>
        <v>-4200</v>
      </c>
    </row>
    <row r="34" spans="1:14" x14ac:dyDescent="0.25">
      <c r="A34" s="5" t="s">
        <v>16</v>
      </c>
      <c r="B34" s="40">
        <v>19000</v>
      </c>
      <c r="C34" s="40"/>
      <c r="D34" s="42">
        <v>18000</v>
      </c>
      <c r="E34" s="40"/>
      <c r="F34" s="40">
        <v>19000</v>
      </c>
      <c r="G34" s="40">
        <f>B34-D34</f>
        <v>1000</v>
      </c>
    </row>
    <row r="35" spans="1:14" x14ac:dyDescent="0.25">
      <c r="A35" s="5" t="s">
        <v>15</v>
      </c>
      <c r="B35" s="40">
        <v>550</v>
      </c>
      <c r="C35" s="40"/>
      <c r="D35" s="42">
        <v>600</v>
      </c>
      <c r="E35" s="40"/>
      <c r="F35" s="40">
        <v>550</v>
      </c>
      <c r="G35" s="40">
        <f>B35-D35</f>
        <v>-50</v>
      </c>
    </row>
    <row r="36" spans="1:14" x14ac:dyDescent="0.25">
      <c r="A36" s="6" t="s">
        <v>14</v>
      </c>
      <c r="B36" s="52">
        <f>SUM(B33:B35)</f>
        <v>24350</v>
      </c>
      <c r="C36" s="39"/>
      <c r="D36" s="52">
        <f>SUM(D33:D35)</f>
        <v>27600</v>
      </c>
      <c r="E36" s="39"/>
      <c r="F36" s="39">
        <f>SUM(F33:F35)</f>
        <v>28550</v>
      </c>
      <c r="G36" s="40"/>
    </row>
    <row r="37" spans="1:14" x14ac:dyDescent="0.25">
      <c r="A37" s="6" t="s">
        <v>13</v>
      </c>
      <c r="B37" s="42"/>
      <c r="C37" s="40"/>
      <c r="D37" s="42"/>
      <c r="E37" s="40"/>
      <c r="F37" s="40"/>
      <c r="G37" s="40"/>
    </row>
    <row r="38" spans="1:14" x14ac:dyDescent="0.25">
      <c r="A38" s="5" t="s">
        <v>12</v>
      </c>
      <c r="B38" s="40">
        <v>200</v>
      </c>
      <c r="C38" s="40"/>
      <c r="D38" s="42">
        <v>250</v>
      </c>
      <c r="E38" s="40"/>
      <c r="F38" s="40">
        <v>200</v>
      </c>
      <c r="G38" s="40">
        <f t="shared" ref="G38:G45" si="2">B38-D38</f>
        <v>-50</v>
      </c>
    </row>
    <row r="39" spans="1:14" x14ac:dyDescent="0.25">
      <c r="A39" s="5" t="s">
        <v>11</v>
      </c>
      <c r="B39" s="40">
        <v>400</v>
      </c>
      <c r="C39" s="40"/>
      <c r="D39" s="42">
        <v>400</v>
      </c>
      <c r="E39" s="40"/>
      <c r="F39" s="40">
        <v>400</v>
      </c>
      <c r="G39" s="40">
        <f t="shared" si="2"/>
        <v>0</v>
      </c>
    </row>
    <row r="40" spans="1:14" x14ac:dyDescent="0.25">
      <c r="A40" s="5" t="s">
        <v>10</v>
      </c>
      <c r="B40" s="40">
        <v>5000</v>
      </c>
      <c r="C40" s="40"/>
      <c r="D40" s="42">
        <v>3000</v>
      </c>
      <c r="E40" s="40"/>
      <c r="F40" s="40">
        <v>5000</v>
      </c>
      <c r="G40" s="40">
        <f t="shared" si="2"/>
        <v>2000</v>
      </c>
    </row>
    <row r="41" spans="1:14" x14ac:dyDescent="0.25">
      <c r="A41" s="5" t="s">
        <v>9</v>
      </c>
      <c r="B41" s="40">
        <v>3000</v>
      </c>
      <c r="C41" s="40"/>
      <c r="D41" s="42">
        <v>4500</v>
      </c>
      <c r="E41" s="40"/>
      <c r="F41" s="40">
        <v>3000</v>
      </c>
      <c r="G41" s="40">
        <f t="shared" si="2"/>
        <v>-1500</v>
      </c>
    </row>
    <row r="42" spans="1:14" x14ac:dyDescent="0.25">
      <c r="A42" s="5" t="s">
        <v>8</v>
      </c>
      <c r="B42" s="40">
        <v>500</v>
      </c>
      <c r="C42" s="40"/>
      <c r="D42" s="41">
        <v>6000</v>
      </c>
      <c r="E42" s="40"/>
      <c r="F42" s="40">
        <v>500</v>
      </c>
      <c r="G42" s="40">
        <f t="shared" si="2"/>
        <v>-5500</v>
      </c>
    </row>
    <row r="43" spans="1:14" x14ac:dyDescent="0.25">
      <c r="A43" s="5" t="s">
        <v>7</v>
      </c>
      <c r="B43" s="40">
        <f>130*12</f>
        <v>1560</v>
      </c>
      <c r="C43" s="40"/>
      <c r="D43" s="41">
        <v>1560</v>
      </c>
      <c r="E43" s="40"/>
      <c r="F43" s="40">
        <f>130*12</f>
        <v>1560</v>
      </c>
      <c r="G43" s="40">
        <f t="shared" si="2"/>
        <v>0</v>
      </c>
    </row>
    <row r="44" spans="1:14" x14ac:dyDescent="0.25">
      <c r="A44" s="5" t="s">
        <v>6</v>
      </c>
      <c r="B44" s="40">
        <v>2000</v>
      </c>
      <c r="C44" s="40"/>
      <c r="D44" s="41">
        <v>2000</v>
      </c>
      <c r="E44" s="40"/>
      <c r="F44" s="40">
        <v>2000</v>
      </c>
      <c r="G44" s="40">
        <f t="shared" si="2"/>
        <v>0</v>
      </c>
    </row>
    <row r="45" spans="1:14" x14ac:dyDescent="0.25">
      <c r="A45" s="5" t="s">
        <v>5</v>
      </c>
      <c r="B45" s="40">
        <v>2500</v>
      </c>
      <c r="C45" s="40"/>
      <c r="D45" s="41">
        <v>2500</v>
      </c>
      <c r="E45" s="40"/>
      <c r="F45" s="40">
        <v>2500</v>
      </c>
      <c r="G45" s="40">
        <f t="shared" si="2"/>
        <v>0</v>
      </c>
    </row>
    <row r="46" spans="1:14" x14ac:dyDescent="0.25">
      <c r="A46" s="5" t="s">
        <v>4</v>
      </c>
      <c r="B46" s="40">
        <v>49000</v>
      </c>
      <c r="C46" s="40"/>
      <c r="D46" s="46">
        <v>40000</v>
      </c>
      <c r="E46" s="40"/>
      <c r="F46" s="40">
        <f>2136*12</f>
        <v>25632</v>
      </c>
      <c r="G46" s="40"/>
      <c r="J46" s="1">
        <f>1590+1200</f>
        <v>2790</v>
      </c>
      <c r="N46" s="1">
        <f>1425*4*21</f>
        <v>119700</v>
      </c>
    </row>
    <row r="47" spans="1:14" x14ac:dyDescent="0.25">
      <c r="A47" s="10" t="s">
        <v>3</v>
      </c>
      <c r="B47" s="54">
        <f>SUM(B38:B46)</f>
        <v>64160</v>
      </c>
      <c r="C47" s="39"/>
      <c r="D47" s="54">
        <f>SUM(D38:D46)</f>
        <v>60210</v>
      </c>
      <c r="E47" s="39"/>
      <c r="F47" s="39">
        <f>SUM(F38:F46)</f>
        <v>40792</v>
      </c>
      <c r="G47" s="40"/>
    </row>
    <row r="48" spans="1:14" x14ac:dyDescent="0.25">
      <c r="A48" s="11" t="s">
        <v>2</v>
      </c>
      <c r="B48" s="41">
        <f>SUM(B21+B31+B36+B47)-B46</f>
        <v>210139</v>
      </c>
      <c r="C48" s="40"/>
      <c r="D48" s="41">
        <f>SUM(D21+D31+D36+D47)-D46</f>
        <v>165560</v>
      </c>
      <c r="E48" s="40"/>
      <c r="F48" s="40">
        <f>SUM(F21+F31+F36+F47)-F46</f>
        <v>272165</v>
      </c>
      <c r="G48" s="40">
        <f>B48-D48</f>
        <v>44579</v>
      </c>
    </row>
    <row r="49" spans="1:12" x14ac:dyDescent="0.25">
      <c r="A49" s="4"/>
      <c r="B49" s="3"/>
      <c r="D49" s="3"/>
      <c r="L49" s="1">
        <f>1500*2*24</f>
        <v>72000</v>
      </c>
    </row>
    <row r="50" spans="1:12" ht="12.9" customHeight="1" x14ac:dyDescent="0.25">
      <c r="A50" s="65" t="s">
        <v>112</v>
      </c>
      <c r="B50" s="65"/>
      <c r="C50" s="65"/>
      <c r="D50" s="65"/>
      <c r="L50" s="1">
        <f>930*6*24</f>
        <v>133920</v>
      </c>
    </row>
    <row r="51" spans="1:12" ht="12.9" customHeight="1" x14ac:dyDescent="0.25">
      <c r="A51" s="65"/>
      <c r="B51" s="65"/>
      <c r="C51" s="65"/>
      <c r="D51" s="65"/>
      <c r="L51" s="1">
        <f>L49+L50</f>
        <v>205920</v>
      </c>
    </row>
    <row r="52" spans="1:12" x14ac:dyDescent="0.25">
      <c r="A52" s="47" t="s">
        <v>1</v>
      </c>
      <c r="B52" s="85">
        <v>24</v>
      </c>
      <c r="C52" s="86"/>
      <c r="D52" s="87"/>
    </row>
    <row r="53" spans="1:12" x14ac:dyDescent="0.25">
      <c r="A53" s="47" t="s">
        <v>99</v>
      </c>
      <c r="B53" s="85">
        <v>860</v>
      </c>
      <c r="C53" s="86"/>
      <c r="D53" s="87"/>
    </row>
    <row r="54" spans="1:12" x14ac:dyDescent="0.25">
      <c r="A54" s="50" t="s">
        <v>100</v>
      </c>
      <c r="B54" s="88">
        <v>860</v>
      </c>
      <c r="C54" s="89"/>
      <c r="D54" s="90"/>
    </row>
    <row r="56" spans="1:12" x14ac:dyDescent="0.25">
      <c r="H56" s="1">
        <f>10000/24/12</f>
        <v>34.722222222222221</v>
      </c>
      <c r="I56" s="1">
        <f>20000/24/12</f>
        <v>69.444444444444443</v>
      </c>
    </row>
    <row r="57" spans="1:12" x14ac:dyDescent="0.25">
      <c r="I57" s="1">
        <f>80000/24/12</f>
        <v>277.77777777777777</v>
      </c>
    </row>
    <row r="58" spans="1:12" x14ac:dyDescent="0.25">
      <c r="H58" s="1">
        <f>10000/24/12</f>
        <v>34.722222222222221</v>
      </c>
    </row>
    <row r="59" spans="1:12" x14ac:dyDescent="0.25">
      <c r="F59" s="1">
        <f>860+104</f>
        <v>964</v>
      </c>
      <c r="I59" s="1">
        <f>40000/24/12</f>
        <v>138.88888888888889</v>
      </c>
    </row>
    <row r="62" spans="1:12" x14ac:dyDescent="0.25">
      <c r="D62" s="1">
        <f>860+104+142</f>
        <v>1106</v>
      </c>
      <c r="F62" s="1">
        <f>860</f>
        <v>860</v>
      </c>
    </row>
    <row r="63" spans="1:12" x14ac:dyDescent="0.25">
      <c r="F63" s="1">
        <f>140</f>
        <v>140</v>
      </c>
    </row>
    <row r="64" spans="1:12" x14ac:dyDescent="0.25">
      <c r="F64" s="1">
        <v>142</v>
      </c>
    </row>
    <row r="65" spans="6:6" x14ac:dyDescent="0.25">
      <c r="F65" s="1">
        <f>F62+F63+F64</f>
        <v>1142</v>
      </c>
    </row>
  </sheetData>
  <mergeCells count="5">
    <mergeCell ref="A1:G1"/>
    <mergeCell ref="A50:D51"/>
    <mergeCell ref="B52:D52"/>
    <mergeCell ref="B53:D53"/>
    <mergeCell ref="B54:D54"/>
  </mergeCells>
  <pageMargins left="0.25" right="0.25" top="0.75" bottom="0.75" header="0.3" footer="0.3"/>
  <pageSetup scale="68" fitToWidth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B683-4652-4DA1-B037-8EC39E95689E}">
  <sheetPr>
    <tabColor theme="9" tint="0.59999389629810485"/>
  </sheetPr>
  <dimension ref="A1:M24"/>
  <sheetViews>
    <sheetView topLeftCell="C1" zoomScaleNormal="100" workbookViewId="0">
      <selection activeCell="G16" sqref="G16"/>
    </sheetView>
  </sheetViews>
  <sheetFormatPr defaultColWidth="9" defaultRowHeight="11.4" x14ac:dyDescent="0.2"/>
  <cols>
    <col min="1" max="1" width="17" bestFit="1" customWidth="1"/>
    <col min="2" max="2" width="11" bestFit="1" customWidth="1"/>
    <col min="3" max="3" width="12" bestFit="1" customWidth="1"/>
    <col min="4" max="4" width="15.625" bestFit="1" customWidth="1"/>
    <col min="5" max="5" width="12.625" bestFit="1" customWidth="1"/>
    <col min="6" max="6" width="14.125" customWidth="1"/>
    <col min="7" max="7" width="13.625" bestFit="1" customWidth="1"/>
    <col min="8" max="8" width="18.125" bestFit="1" customWidth="1"/>
    <col min="9" max="9" width="19.875" bestFit="1" customWidth="1"/>
    <col min="10" max="10" width="21.125" customWidth="1"/>
    <col min="11" max="11" width="11.625" customWidth="1"/>
    <col min="12" max="12" width="22.375" customWidth="1"/>
  </cols>
  <sheetData>
    <row r="1" spans="1:13" ht="22.8" x14ac:dyDescent="0.4">
      <c r="A1" s="72" t="s">
        <v>105</v>
      </c>
      <c r="B1" s="72"/>
      <c r="C1" s="72"/>
      <c r="D1" s="72"/>
      <c r="E1" s="72"/>
      <c r="F1" s="72"/>
      <c r="G1" s="72"/>
      <c r="H1" s="72"/>
    </row>
    <row r="2" spans="1:13" ht="12" thickBot="1" x14ac:dyDescent="0.25"/>
    <row r="3" spans="1:13" ht="15" x14ac:dyDescent="0.25">
      <c r="A3" s="12" t="s">
        <v>52</v>
      </c>
      <c r="B3" s="13" t="s">
        <v>53</v>
      </c>
      <c r="C3" s="13" t="s">
        <v>53</v>
      </c>
      <c r="D3" s="13" t="s">
        <v>54</v>
      </c>
      <c r="E3" s="14" t="s">
        <v>55</v>
      </c>
      <c r="F3" s="13" t="s">
        <v>56</v>
      </c>
      <c r="G3" s="13" t="s">
        <v>57</v>
      </c>
      <c r="H3" s="15" t="s">
        <v>58</v>
      </c>
      <c r="I3" s="15" t="s">
        <v>58</v>
      </c>
      <c r="J3" s="15" t="s">
        <v>58</v>
      </c>
      <c r="L3" s="16"/>
      <c r="M3" s="17"/>
    </row>
    <row r="4" spans="1:13" ht="15" x14ac:dyDescent="0.25">
      <c r="A4" s="18"/>
      <c r="B4" s="19" t="s">
        <v>59</v>
      </c>
      <c r="C4" s="19" t="s">
        <v>60</v>
      </c>
      <c r="D4" s="19" t="s">
        <v>61</v>
      </c>
      <c r="E4" s="20" t="s">
        <v>62</v>
      </c>
      <c r="F4" s="19" t="s">
        <v>63</v>
      </c>
      <c r="G4" s="19" t="s">
        <v>58</v>
      </c>
      <c r="H4" s="21" t="s">
        <v>106</v>
      </c>
      <c r="I4" s="21" t="s">
        <v>107</v>
      </c>
      <c r="J4" s="21" t="s">
        <v>108</v>
      </c>
      <c r="L4" s="16"/>
      <c r="M4" s="17"/>
    </row>
    <row r="5" spans="1:13" ht="15" x14ac:dyDescent="0.25">
      <c r="A5" s="18"/>
      <c r="B5" s="19"/>
      <c r="C5" s="19"/>
      <c r="D5" s="19"/>
      <c r="E5" s="20" t="s">
        <v>64</v>
      </c>
      <c r="F5" s="22">
        <v>45291</v>
      </c>
      <c r="G5" s="19" t="s">
        <v>65</v>
      </c>
      <c r="H5" s="21" t="s">
        <v>66</v>
      </c>
      <c r="I5" s="21" t="s">
        <v>67</v>
      </c>
      <c r="J5" s="21" t="s">
        <v>67</v>
      </c>
      <c r="L5" s="16"/>
      <c r="M5" s="17"/>
    </row>
    <row r="6" spans="1:13" ht="15" x14ac:dyDescent="0.25">
      <c r="A6" s="23" t="s">
        <v>68</v>
      </c>
      <c r="B6" s="24">
        <v>20</v>
      </c>
      <c r="C6" s="58">
        <v>200000</v>
      </c>
      <c r="D6" s="24">
        <v>3</v>
      </c>
      <c r="E6" s="59">
        <v>0.2</v>
      </c>
      <c r="F6" s="27">
        <v>0</v>
      </c>
      <c r="G6" s="27">
        <f>SUM(C6/D6)-F6</f>
        <v>66666.666666666672</v>
      </c>
      <c r="H6" s="28">
        <f>SUM(C6/D6)</f>
        <v>66666.666666666672</v>
      </c>
      <c r="I6" s="29">
        <f>C6/D6*0.4</f>
        <v>26666.666666666672</v>
      </c>
      <c r="J6" s="29">
        <f>SUM(H6*0.2)</f>
        <v>13333.333333333336</v>
      </c>
      <c r="L6" s="16" t="s">
        <v>92</v>
      </c>
      <c r="M6" s="17"/>
    </row>
    <row r="7" spans="1:13" ht="15" x14ac:dyDescent="0.25">
      <c r="A7" s="23" t="s">
        <v>69</v>
      </c>
      <c r="B7" s="24">
        <v>50</v>
      </c>
      <c r="C7" s="27">
        <v>80000</v>
      </c>
      <c r="D7" s="24">
        <v>47</v>
      </c>
      <c r="E7" s="59">
        <v>0.2</v>
      </c>
      <c r="F7" s="27">
        <v>0</v>
      </c>
      <c r="G7" s="27">
        <f t="shared" ref="G7:G11" si="0">SUM(C7/D7)-F7</f>
        <v>1702.127659574468</v>
      </c>
      <c r="H7" s="28">
        <f t="shared" ref="H7:H11" si="1">SUM(C7/D7)</f>
        <v>1702.127659574468</v>
      </c>
      <c r="I7" s="29">
        <f>C7/D7*0.4</f>
        <v>680.85106382978722</v>
      </c>
      <c r="J7" s="29">
        <f>SUM(H7*0.2)</f>
        <v>340.42553191489361</v>
      </c>
      <c r="L7" s="16" t="s">
        <v>93</v>
      </c>
      <c r="M7" s="17"/>
    </row>
    <row r="8" spans="1:13" ht="15" x14ac:dyDescent="0.25">
      <c r="A8" s="23" t="s">
        <v>70</v>
      </c>
      <c r="B8" s="24">
        <v>30</v>
      </c>
      <c r="C8" s="27">
        <v>10000</v>
      </c>
      <c r="D8" s="30">
        <v>1</v>
      </c>
      <c r="E8" s="59">
        <v>0.1</v>
      </c>
      <c r="F8" s="27">
        <v>0</v>
      </c>
      <c r="G8" s="27">
        <v>10000</v>
      </c>
      <c r="H8" s="28">
        <f t="shared" si="1"/>
        <v>10000</v>
      </c>
      <c r="I8" s="29">
        <f t="shared" ref="I8:I11" si="2">C8/D8*0.4</f>
        <v>4000</v>
      </c>
      <c r="J8" s="29">
        <f>SUM(H8*0.2)</f>
        <v>2000</v>
      </c>
      <c r="L8" s="16" t="s">
        <v>97</v>
      </c>
      <c r="M8" s="17"/>
    </row>
    <row r="9" spans="1:13" ht="15" x14ac:dyDescent="0.25">
      <c r="A9" s="23" t="s">
        <v>109</v>
      </c>
      <c r="B9" s="24">
        <v>20</v>
      </c>
      <c r="C9" s="27">
        <v>150000</v>
      </c>
      <c r="D9" s="30">
        <v>5</v>
      </c>
      <c r="E9" s="59">
        <v>0.15</v>
      </c>
      <c r="F9" s="27">
        <v>0</v>
      </c>
      <c r="G9" s="27">
        <f>C9/D9</f>
        <v>30000</v>
      </c>
      <c r="H9" s="28">
        <f>G9</f>
        <v>30000</v>
      </c>
      <c r="I9" s="29">
        <f>H9*0.4</f>
        <v>12000</v>
      </c>
      <c r="J9" s="29">
        <f>H9*0.2</f>
        <v>6000</v>
      </c>
      <c r="L9" s="16"/>
      <c r="M9" s="17"/>
    </row>
    <row r="10" spans="1:13" ht="15" x14ac:dyDescent="0.25">
      <c r="A10" s="23" t="s">
        <v>71</v>
      </c>
      <c r="B10" s="24">
        <v>20</v>
      </c>
      <c r="C10" s="27">
        <v>15000</v>
      </c>
      <c r="D10" s="24">
        <v>17</v>
      </c>
      <c r="E10" s="59">
        <v>0.15</v>
      </c>
      <c r="F10" s="27">
        <v>0</v>
      </c>
      <c r="G10" s="27">
        <f t="shared" si="0"/>
        <v>882.35294117647061</v>
      </c>
      <c r="H10" s="28">
        <f t="shared" si="1"/>
        <v>882.35294117647061</v>
      </c>
      <c r="I10" s="28">
        <f t="shared" si="2"/>
        <v>352.94117647058829</v>
      </c>
      <c r="J10" s="28">
        <f>SUM(G10*0.2)</f>
        <v>176.47058823529414</v>
      </c>
      <c r="L10" s="16"/>
      <c r="M10" s="17"/>
    </row>
    <row r="11" spans="1:13" ht="13.2" x14ac:dyDescent="0.25">
      <c r="A11" s="23" t="s">
        <v>72</v>
      </c>
      <c r="B11" s="24">
        <v>7</v>
      </c>
      <c r="C11" s="27">
        <v>25000</v>
      </c>
      <c r="D11" s="24">
        <v>2</v>
      </c>
      <c r="E11" s="59">
        <v>0.2</v>
      </c>
      <c r="F11" s="27">
        <v>0</v>
      </c>
      <c r="G11" s="27">
        <f t="shared" si="0"/>
        <v>12500</v>
      </c>
      <c r="H11" s="28">
        <f t="shared" si="1"/>
        <v>12500</v>
      </c>
      <c r="I11" s="28">
        <f t="shared" si="2"/>
        <v>5000</v>
      </c>
      <c r="J11" s="28">
        <f>SUM(G11*0.2)</f>
        <v>2500</v>
      </c>
    </row>
    <row r="12" spans="1:13" ht="13.8" thickBot="1" x14ac:dyDescent="0.3">
      <c r="A12" s="31" t="s">
        <v>73</v>
      </c>
      <c r="B12" s="32"/>
      <c r="C12" s="33">
        <f>SUM(C6:C11)</f>
        <v>480000</v>
      </c>
      <c r="D12" s="32"/>
      <c r="E12" s="34">
        <f>SUM(E6:E11)</f>
        <v>1</v>
      </c>
      <c r="F12" s="33">
        <v>25000</v>
      </c>
      <c r="G12" s="33">
        <f>SUM(G6:G11)</f>
        <v>121751.14726741762</v>
      </c>
      <c r="H12" s="61">
        <f>SUM(H6:H11)</f>
        <v>121751.14726741762</v>
      </c>
      <c r="I12" s="35">
        <f>SUM(I6:I11)</f>
        <v>48700.458906967047</v>
      </c>
      <c r="J12" s="35">
        <f>SUM(J6:J11)</f>
        <v>24350.229453483524</v>
      </c>
      <c r="L12" s="55"/>
    </row>
    <row r="13" spans="1:13" ht="12" thickBot="1" x14ac:dyDescent="0.25"/>
    <row r="14" spans="1:13" ht="13.8" x14ac:dyDescent="0.25">
      <c r="A14" s="73" t="s">
        <v>74</v>
      </c>
      <c r="B14" s="74"/>
      <c r="C14" s="75"/>
      <c r="D14" s="76" t="s">
        <v>75</v>
      </c>
      <c r="E14" s="76"/>
      <c r="F14" s="76"/>
      <c r="G14" s="76"/>
      <c r="H14" s="76"/>
      <c r="I14" s="76"/>
      <c r="J14" s="60"/>
      <c r="K14" s="60"/>
    </row>
    <row r="15" spans="1:13" ht="41.4" x14ac:dyDescent="0.25">
      <c r="A15" s="18" t="s">
        <v>76</v>
      </c>
      <c r="B15" s="77" t="s">
        <v>77</v>
      </c>
      <c r="C15" s="78"/>
      <c r="D15" s="79"/>
      <c r="E15" s="80" t="s">
        <v>110</v>
      </c>
      <c r="F15" s="80"/>
      <c r="G15" s="36" t="s">
        <v>111</v>
      </c>
      <c r="H15" s="37" t="s">
        <v>95</v>
      </c>
      <c r="I15" s="37" t="s">
        <v>80</v>
      </c>
      <c r="J15" s="37" t="s">
        <v>96</v>
      </c>
      <c r="K15" s="37" t="s">
        <v>80</v>
      </c>
    </row>
    <row r="16" spans="1:13" ht="13.2" x14ac:dyDescent="0.25">
      <c r="A16" s="23" t="s">
        <v>76</v>
      </c>
      <c r="B16" s="91">
        <v>952</v>
      </c>
      <c r="C16" s="92"/>
      <c r="D16" s="93"/>
      <c r="E16" s="94">
        <f>SUM(H12/24)/12</f>
        <v>422.74703912297787</v>
      </c>
      <c r="F16" s="94"/>
      <c r="G16" s="56">
        <f>SUM(B16+E16)</f>
        <v>1374.7470391229779</v>
      </c>
      <c r="H16" s="57">
        <f>SUM(I12/24/12)</f>
        <v>169.09881564919115</v>
      </c>
      <c r="I16" s="57">
        <f>SUM(H16+B16)</f>
        <v>1121.0988156491912</v>
      </c>
      <c r="J16" s="57">
        <f>J12/24/12</f>
        <v>84.549407824595576</v>
      </c>
      <c r="K16" s="57">
        <f>J16+B16</f>
        <v>1036.5494078245956</v>
      </c>
    </row>
    <row r="17" spans="1:9" ht="12" thickBot="1" x14ac:dyDescent="0.25"/>
    <row r="18" spans="1:9" x14ac:dyDescent="0.2">
      <c r="A18" s="66" t="s">
        <v>81</v>
      </c>
      <c r="B18" s="67"/>
      <c r="C18" s="67"/>
      <c r="D18" s="67"/>
      <c r="E18" s="67"/>
      <c r="F18" s="67"/>
      <c r="G18" s="67"/>
      <c r="H18" s="67"/>
      <c r="I18" s="68"/>
    </row>
    <row r="19" spans="1:9" ht="42" customHeight="1" thickBot="1" x14ac:dyDescent="0.25">
      <c r="A19" s="69"/>
      <c r="B19" s="70"/>
      <c r="C19" s="70"/>
      <c r="D19" s="70"/>
      <c r="E19" s="70"/>
      <c r="F19" s="70"/>
      <c r="G19" s="70"/>
      <c r="H19" s="70"/>
      <c r="I19" s="71"/>
    </row>
    <row r="22" spans="1:9" x14ac:dyDescent="0.2">
      <c r="H22" s="55"/>
    </row>
    <row r="24" spans="1:9" x14ac:dyDescent="0.2">
      <c r="F24" s="55">
        <f>SUM(E16*4)</f>
        <v>1690.9881564919115</v>
      </c>
    </row>
  </sheetData>
  <mergeCells count="8">
    <mergeCell ref="A18:I19"/>
    <mergeCell ref="A1:H1"/>
    <mergeCell ref="A14:C14"/>
    <mergeCell ref="D14:I14"/>
    <mergeCell ref="B15:D15"/>
    <mergeCell ref="E15:F15"/>
    <mergeCell ref="B16:D16"/>
    <mergeCell ref="E16:F16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1. Budget 2022</vt:lpstr>
      <vt:lpstr>reserves 2022</vt:lpstr>
      <vt:lpstr>1. Budget 2023</vt:lpstr>
      <vt:lpstr>reserves 2023</vt:lpstr>
      <vt:lpstr>1. Budget revised 2023 (2)</vt:lpstr>
      <vt:lpstr>1. Budget 2024</vt:lpstr>
      <vt:lpstr>reserves 2024</vt:lpstr>
      <vt:lpstr>'1. Budget 2022'!Print_Area</vt:lpstr>
      <vt:lpstr>'1. Budget 2023'!Print_Area</vt:lpstr>
      <vt:lpstr>'1. Budget 2024'!Print_Area</vt:lpstr>
      <vt:lpstr>'1. Budget revised 2023 (2)'!Print_Area</vt:lpstr>
      <vt:lpstr>'1. Budget 2022'!Print_Titles</vt:lpstr>
      <vt:lpstr>'1. Budget 2023'!Print_Titles</vt:lpstr>
      <vt:lpstr>'1. Budget 2024'!Print_Titles</vt:lpstr>
      <vt:lpstr>'1. Budget revised 2023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V</dc:creator>
  <cp:lastModifiedBy>jamie blum</cp:lastModifiedBy>
  <cp:lastPrinted>2023-11-02T10:29:45Z</cp:lastPrinted>
  <dcterms:created xsi:type="dcterms:W3CDTF">2021-09-30T18:15:03Z</dcterms:created>
  <dcterms:modified xsi:type="dcterms:W3CDTF">2024-10-11T15:14:17Z</dcterms:modified>
</cp:coreProperties>
</file>