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3D3841B6-8AAA-4692-A4B1-EABDB21DD9FB}" xr6:coauthVersionLast="47" xr6:coauthVersionMax="47" xr10:uidLastSave="{00000000-0000-0000-0000-000000000000}"/>
  <bookViews>
    <workbookView xWindow="-108" yWindow="-108" windowWidth="23256" windowHeight="13896" firstSheet="4" activeTab="6" xr2:uid="{4A3BCF8F-8BFA-4254-BA16-43C155C3F7D5}"/>
  </bookViews>
  <sheets>
    <sheet name="emg assessment 2022" sheetId="1" r:id="rId1"/>
    <sheet name="bank loan 2022" sheetId="2" r:id="rId2"/>
    <sheet name="2021" sheetId="3" r:id="rId3"/>
    <sheet name="1" sheetId="4" r:id="rId4"/>
    <sheet name="2022" sheetId="5" r:id="rId5"/>
    <sheet name="2023" sheetId="6" r:id="rId6"/>
    <sheet name="2024" sheetId="8" r:id="rId7"/>
    <sheet name="reserves" sheetId="7" r:id="rId8"/>
  </sheets>
  <definedNames>
    <definedName name="_xlnm.Print_Area" localSheetId="6">'2024'!$A$1:$D$46</definedName>
    <definedName name="_xlnm.Print_Area" localSheetId="7">reserves!$A$1:$I$20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7" l="1"/>
  <c r="F6" i="7"/>
  <c r="D42" i="8" l="1"/>
  <c r="G18" i="8" l="1"/>
  <c r="B38" i="8"/>
  <c r="B39" i="8" s="1"/>
  <c r="B36" i="8"/>
  <c r="B8" i="8"/>
  <c r="D36" i="8"/>
  <c r="D5" i="8" s="1"/>
  <c r="D8" i="8" s="1"/>
  <c r="D38" i="8" s="1"/>
  <c r="C36" i="8"/>
  <c r="G19" i="8" s="1"/>
  <c r="C8" i="8"/>
  <c r="C38" i="8" s="1"/>
  <c r="H10" i="7"/>
  <c r="G9" i="7"/>
  <c r="H9" i="7" s="1"/>
  <c r="G8" i="7"/>
  <c r="H8" i="7" s="1"/>
  <c r="I8" i="7" s="1"/>
  <c r="G7" i="7"/>
  <c r="G6" i="7"/>
  <c r="D39" i="8" l="1"/>
  <c r="C39" i="8"/>
  <c r="G46" i="6"/>
  <c r="I46" i="6" s="1"/>
  <c r="G45" i="6"/>
  <c r="I45" i="6" s="1"/>
  <c r="G47" i="6"/>
  <c r="I47" i="6" s="1"/>
  <c r="F47" i="6"/>
  <c r="F46" i="6"/>
  <c r="F45" i="6"/>
  <c r="B36" i="6"/>
  <c r="E11" i="7"/>
  <c r="C11" i="7"/>
  <c r="I10" i="7"/>
  <c r="I9" i="7"/>
  <c r="H7" i="7"/>
  <c r="I7" i="7" s="1"/>
  <c r="H6" i="7"/>
  <c r="I6" i="7" s="1"/>
  <c r="D44" i="8" l="1"/>
  <c r="B15" i="7" s="1"/>
  <c r="D46" i="8"/>
  <c r="B17" i="7" s="1"/>
  <c r="D45" i="8"/>
  <c r="B16" i="7" s="1"/>
  <c r="F48" i="6"/>
  <c r="B5" i="6" s="1"/>
  <c r="B8" i="6" s="1"/>
  <c r="B38" i="6" s="1"/>
  <c r="B39" i="6" s="1"/>
  <c r="H45" i="6"/>
  <c r="H46" i="6"/>
  <c r="H47" i="6"/>
  <c r="G11" i="7"/>
  <c r="I11" i="7"/>
  <c r="H11" i="7"/>
  <c r="E17" i="7" l="1"/>
  <c r="G17" i="7" s="1"/>
  <c r="E16" i="7"/>
  <c r="G16" i="7" s="1"/>
  <c r="E15" i="7"/>
  <c r="G15" i="7" s="1"/>
  <c r="H17" i="7"/>
  <c r="I17" i="7" s="1"/>
  <c r="H16" i="7"/>
  <c r="I16" i="7" s="1"/>
  <c r="H15" i="7"/>
  <c r="I15" i="7" s="1"/>
  <c r="H48" i="6"/>
  <c r="D36" i="6"/>
  <c r="C36" i="6"/>
  <c r="C8" i="6"/>
  <c r="C38" i="6" s="1"/>
  <c r="F49" i="5"/>
  <c r="F48" i="5"/>
  <c r="F47" i="5"/>
  <c r="F50" i="5" s="1"/>
  <c r="F7" i="5" s="1"/>
  <c r="F11" i="5" s="1"/>
  <c r="F39" i="5"/>
  <c r="C39" i="5"/>
  <c r="B39" i="5"/>
  <c r="C11" i="5"/>
  <c r="B11" i="5"/>
  <c r="C39" i="6" l="1"/>
  <c r="D8" i="6"/>
  <c r="D38" i="6" s="1"/>
  <c r="D39" i="6" s="1"/>
  <c r="G40" i="4"/>
  <c r="D40" i="4"/>
  <c r="B40" i="4"/>
  <c r="G11" i="4"/>
  <c r="D11" i="4"/>
  <c r="G40" i="3"/>
  <c r="D40" i="3"/>
  <c r="B40" i="3"/>
  <c r="G11" i="3"/>
  <c r="D11" i="3"/>
  <c r="F6" i="2"/>
  <c r="F5" i="2"/>
  <c r="F4" i="2"/>
  <c r="E6" i="2"/>
  <c r="E5" i="2"/>
  <c r="E4" i="2"/>
  <c r="D6" i="2"/>
  <c r="D5" i="2"/>
  <c r="D4" i="2"/>
  <c r="G6" i="2"/>
  <c r="G5" i="2"/>
  <c r="G4" i="2"/>
  <c r="I9" i="2"/>
  <c r="K4" i="2"/>
  <c r="D4" i="1"/>
  <c r="E4" i="1" s="1"/>
  <c r="D6" i="1"/>
  <c r="F6" i="1" s="1"/>
  <c r="D5" i="1"/>
  <c r="F5" i="1" s="1"/>
  <c r="J4" i="1"/>
  <c r="F4" i="1" l="1"/>
  <c r="E5" i="1"/>
  <c r="E6" i="1"/>
  <c r="E9" i="2" l="1"/>
</calcChain>
</file>

<file path=xl/sharedStrings.xml><?xml version="1.0" encoding="utf-8"?>
<sst xmlns="http://schemas.openxmlformats.org/spreadsheetml/2006/main" count="301" uniqueCount="113">
  <si>
    <t>Units:</t>
  </si>
  <si>
    <t>Percentage</t>
  </si>
  <si>
    <t>Overall collection for each %</t>
  </si>
  <si>
    <t>Full Assessment per Unit with interest</t>
  </si>
  <si>
    <t>A Maintenance</t>
  </si>
  <si>
    <t>B Maintenance</t>
  </si>
  <si>
    <t>C Maintenance</t>
  </si>
  <si>
    <t>for 10 years</t>
  </si>
  <si>
    <t>%5.0 interest  $50000</t>
  </si>
  <si>
    <t>200,000.00  loan per Unit Monthly</t>
  </si>
  <si>
    <t>Assessment 2022</t>
  </si>
  <si>
    <t>101,109, 201, 209, 301, 309</t>
  </si>
  <si>
    <t>102, 108, 202, 208, 302, 308</t>
  </si>
  <si>
    <t>103, 104, 105, 106, 107, 203, 204, 205, 206, 207, 303, 304, 305, 306, 307</t>
  </si>
  <si>
    <t>Emergency Assessment 2022</t>
  </si>
  <si>
    <t>Due by July 1, 2022</t>
  </si>
  <si>
    <t>Due by August 1, 2022</t>
  </si>
  <si>
    <t>Water Tower repair</t>
  </si>
  <si>
    <t xml:space="preserve">Full Assessment with no interest paid in full </t>
  </si>
  <si>
    <t>Difference</t>
  </si>
  <si>
    <t>Budget</t>
  </si>
  <si>
    <t>Actual</t>
  </si>
  <si>
    <t>Proposed Budget</t>
  </si>
  <si>
    <t>w/ $50 Increase</t>
  </si>
  <si>
    <t>REVENUE</t>
  </si>
  <si>
    <t>Maintenance</t>
  </si>
  <si>
    <t>Laundry</t>
  </si>
  <si>
    <t>Application Fees</t>
  </si>
  <si>
    <t>TOTAL REVENUE</t>
  </si>
  <si>
    <t>EXPENSES</t>
  </si>
  <si>
    <t>Accounting Fees</t>
  </si>
  <si>
    <t>Background Check</t>
  </si>
  <si>
    <t>Bank Fees</t>
  </si>
  <si>
    <t>Building Repairs</t>
  </si>
  <si>
    <t xml:space="preserve">    Roof Repair</t>
  </si>
  <si>
    <t xml:space="preserve">   Tower Repairs</t>
  </si>
  <si>
    <t>Chemical Treatment for Tower</t>
  </si>
  <si>
    <t>Cleaning Service</t>
  </si>
  <si>
    <t>Elevator Maintenance</t>
  </si>
  <si>
    <t>Elevator Phone</t>
  </si>
  <si>
    <t>FPL Building</t>
  </si>
  <si>
    <t>FPL Tower</t>
  </si>
  <si>
    <t>Garbage</t>
  </si>
  <si>
    <t>Insurance</t>
  </si>
  <si>
    <t>Lawn Service</t>
  </si>
  <si>
    <t>Legal Fees</t>
  </si>
  <si>
    <t>Licenses and Fees</t>
  </si>
  <si>
    <t>Misc. Expenses</t>
  </si>
  <si>
    <t>Parking</t>
  </si>
  <si>
    <t>Pest Control</t>
  </si>
  <si>
    <t xml:space="preserve">Tower Maintenance </t>
  </si>
  <si>
    <t>Water</t>
  </si>
  <si>
    <t>Contingency</t>
  </si>
  <si>
    <t>none</t>
  </si>
  <si>
    <t xml:space="preserve">    TOTAL EXPENSES:</t>
  </si>
  <si>
    <t xml:space="preserve"> </t>
  </si>
  <si>
    <t xml:space="preserve">    TOTAL REVENUE:</t>
  </si>
  <si>
    <r>
      <t xml:space="preserve">    PROFIT OR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LOSS</t>
    </r>
    <r>
      <rPr>
        <b/>
        <u/>
        <sz val="11"/>
        <color theme="1"/>
        <rFont val="Calibri"/>
        <family val="2"/>
        <scheme val="minor"/>
      </rPr>
      <t>:</t>
    </r>
  </si>
  <si>
    <r>
      <t xml:space="preserve">    PROFIT OR </t>
    </r>
    <r>
      <rPr>
        <b/>
        <sz val="11"/>
        <color theme="1"/>
        <rFont val="Calibri"/>
        <family val="2"/>
        <scheme val="minor"/>
      </rPr>
      <t>LOSS:</t>
    </r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</si>
  <si>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</si>
  <si>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</si>
  <si>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</si>
  <si>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</si>
  <si>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</si>
  <si>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</si>
  <si>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</si>
  <si>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</si>
  <si>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</si>
  <si>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</si>
  <si>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</si>
  <si>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</si>
  <si>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</si>
  <si>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</si>
  <si>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</si>
  <si>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</si>
  <si>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</si>
  <si>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Elevator</t>
  </si>
  <si>
    <t>Parking lot</t>
  </si>
  <si>
    <t>Paint</t>
  </si>
  <si>
    <t>Total</t>
  </si>
  <si>
    <t>Maintenance Fee Without Reserve</t>
  </si>
  <si>
    <t>Maintenance Fee With Reserve</t>
  </si>
  <si>
    <t>Monthly</t>
  </si>
  <si>
    <t>Full Reserves Monthly Cost</t>
  </si>
  <si>
    <t>Monthly Fee</t>
  </si>
  <si>
    <t>Partial with Maint.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</si>
  <si>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</si>
  <si>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Electrical Expense</t>
  </si>
  <si>
    <t>Fire Alarms</t>
  </si>
  <si>
    <t>Laundry Expense</t>
  </si>
  <si>
    <t>Property Management Fees</t>
  </si>
  <si>
    <t>Office Expense</t>
  </si>
  <si>
    <t>Plumbing Expense</t>
  </si>
  <si>
    <t>check amounts in yellow</t>
  </si>
  <si>
    <t>Building Repairs is separate from Roof and Tower should not be set back</t>
  </si>
  <si>
    <t>why would you go lower with insurance I you need to check the number I think it is a total of $44K</t>
  </si>
  <si>
    <t>under page layout you need to check head and footer to see what year is posted</t>
  </si>
  <si>
    <t>AC Tower</t>
  </si>
  <si>
    <t>There elevator is it computerized if not it doesn't have much life</t>
  </si>
  <si>
    <t>Roof Repair</t>
  </si>
  <si>
    <t>Tower Repairs</t>
  </si>
  <si>
    <t>Bank loan</t>
  </si>
  <si>
    <t>Assessment cost</t>
  </si>
  <si>
    <t>tower</t>
  </si>
  <si>
    <t>roof</t>
  </si>
  <si>
    <t>plumbing</t>
  </si>
  <si>
    <t>cost after assessment items</t>
  </si>
  <si>
    <t>total</t>
  </si>
  <si>
    <t>Estimated Expenses</t>
  </si>
  <si>
    <t>2024 Budget</t>
  </si>
  <si>
    <t>2024 Budget - 40%</t>
  </si>
  <si>
    <t>Contingency/Bad Debt</t>
  </si>
  <si>
    <t>Reserves for 2024 -Amended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</si>
</sst>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00_);\(#,##0.000\)"/>
    <numFmt numFmtId="166" formatCode="0.000%"/>
    <numFmt numFmtId="167" formatCode="_(&quot;$&quot;* #,##0.000_);_(&quot;$&quot;* \(#,##0.000\);_(&quot;$&quot;* &quot;-&quot;???_);_(@_)"/>
    <numFmt numFmtId="168" formatCode="&quot;$&quot;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 val="singleAccounting"/>
      <sz val="11"/>
      <color rgb="FFFF0000"/>
      <name val="Calibri"/>
      <family val="2"/>
      <scheme val="minor"/>
    </font>
    <font>
      <b/>
      <u/>
      <sz val="1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0" xfId="0" applyNumberFormat="1"/>
    <xf numFmtId="166" fontId="7" fillId="0" borderId="9" xfId="1" applyNumberFormat="1" applyFont="1" applyBorder="1" applyAlignment="1">
      <alignment horizontal="center" vertical="center" wrapText="1"/>
    </xf>
    <xf numFmtId="0" fontId="0" fillId="0" borderId="10" xfId="0" applyBorder="1"/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/>
    <xf numFmtId="0" fontId="10" fillId="0" borderId="0" xfId="0" applyFont="1"/>
    <xf numFmtId="0" fontId="0" fillId="0" borderId="11" xfId="0" applyBorder="1"/>
    <xf numFmtId="44" fontId="0" fillId="0" borderId="0" xfId="2" applyFont="1"/>
    <xf numFmtId="44" fontId="0" fillId="0" borderId="11" xfId="2" applyFont="1" applyBorder="1"/>
    <xf numFmtId="44" fontId="11" fillId="0" borderId="0" xfId="2" applyFont="1"/>
    <xf numFmtId="44" fontId="2" fillId="0" borderId="0" xfId="2" applyFont="1"/>
    <xf numFmtId="44" fontId="12" fillId="0" borderId="0" xfId="2" applyFont="1"/>
    <xf numFmtId="44" fontId="11" fillId="0" borderId="11" xfId="2" applyFont="1" applyBorder="1"/>
    <xf numFmtId="44" fontId="0" fillId="0" borderId="11" xfId="2" applyFont="1" applyBorder="1" applyAlignment="1">
      <alignment horizontal="right"/>
    </xf>
    <xf numFmtId="44" fontId="13" fillId="0" borderId="0" xfId="2" applyFont="1"/>
    <xf numFmtId="0" fontId="9" fillId="0" borderId="0" xfId="0" applyFont="1"/>
    <xf numFmtId="0" fontId="14" fillId="0" borderId="0" xfId="0" applyFont="1"/>
    <xf numFmtId="44" fontId="0" fillId="0" borderId="12" xfId="2" applyFont="1" applyBorder="1"/>
    <xf numFmtId="44" fontId="18" fillId="0" borderId="0" xfId="2" applyFont="1"/>
    <xf numFmtId="164" fontId="0" fillId="0" borderId="0" xfId="2" applyNumberFormat="1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20" fillId="0" borderId="0" xfId="0" applyNumberFormat="1" applyFont="1" applyAlignment="1">
      <alignment horizontal="left" indent="2"/>
    </xf>
    <xf numFmtId="37" fontId="20" fillId="0" borderId="0" xfId="0" applyNumberFormat="1" applyFont="1"/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1" fillId="3" borderId="18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164" fontId="21" fillId="3" borderId="19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167" fontId="0" fillId="0" borderId="0" xfId="0" applyNumberFormat="1"/>
    <xf numFmtId="167" fontId="0" fillId="4" borderId="0" xfId="0" applyNumberFormat="1" applyFill="1"/>
    <xf numFmtId="44" fontId="0" fillId="4" borderId="0" xfId="0" applyNumberFormat="1" applyFill="1"/>
    <xf numFmtId="164" fontId="0" fillId="4" borderId="0" xfId="0" applyNumberForma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center"/>
    </xf>
    <xf numFmtId="4" fontId="0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center"/>
    </xf>
    <xf numFmtId="44" fontId="0" fillId="0" borderId="0" xfId="2" applyFont="1" applyAlignment="1">
      <alignment horizontal="center"/>
    </xf>
    <xf numFmtId="44" fontId="2" fillId="0" borderId="0" xfId="2" applyFont="1" applyAlignment="1">
      <alignment horizontal="center"/>
    </xf>
    <xf numFmtId="7" fontId="0" fillId="0" borderId="0" xfId="2" applyNumberFormat="1" applyFont="1" applyAlignment="1">
      <alignment horizontal="center"/>
    </xf>
    <xf numFmtId="44" fontId="11" fillId="0" borderId="0" xfId="2" applyFont="1" applyAlignment="1">
      <alignment horizontal="center"/>
    </xf>
    <xf numFmtId="44" fontId="0" fillId="0" borderId="0" xfId="0" applyNumberFormat="1" applyAlignment="1">
      <alignment horizontal="center"/>
    </xf>
    <xf numFmtId="7" fontId="2" fillId="0" borderId="0" xfId="2" applyNumberFormat="1" applyFont="1" applyBorder="1" applyAlignment="1">
      <alignment horizontal="center"/>
    </xf>
    <xf numFmtId="7" fontId="0" fillId="0" borderId="29" xfId="2" applyNumberFormat="1" applyFont="1" applyBorder="1" applyAlignment="1">
      <alignment horizontal="center"/>
    </xf>
    <xf numFmtId="7" fontId="0" fillId="4" borderId="0" xfId="2" applyNumberFormat="1" applyFont="1" applyFill="1" applyAlignment="1">
      <alignment horizontal="center"/>
    </xf>
    <xf numFmtId="7" fontId="0" fillId="0" borderId="0" xfId="2" applyNumberFormat="1" applyFont="1" applyFill="1" applyAlignment="1">
      <alignment horizontal="center"/>
    </xf>
    <xf numFmtId="7" fontId="0" fillId="4" borderId="0" xfId="0" applyNumberFormat="1" applyFill="1"/>
    <xf numFmtId="0" fontId="8" fillId="0" borderId="5" xfId="0" applyFont="1" applyBorder="1" applyAlignment="1">
      <alignment horizontal="center" vertical="center" wrapText="1"/>
    </xf>
    <xf numFmtId="10" fontId="21" fillId="5" borderId="19" xfId="0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8" fontId="0" fillId="0" borderId="9" xfId="0" applyNumberFormat="1" applyBorder="1" applyAlignment="1">
      <alignment horizontal="center"/>
    </xf>
    <xf numFmtId="168" fontId="0" fillId="0" borderId="17" xfId="0" applyNumberFormat="1" applyBorder="1" applyAlignment="1">
      <alignment horizontal="center"/>
    </xf>
    <xf numFmtId="168" fontId="7" fillId="0" borderId="17" xfId="0" applyNumberFormat="1" applyFont="1" applyBorder="1" applyAlignment="1">
      <alignment horizontal="center"/>
    </xf>
    <xf numFmtId="168" fontId="21" fillId="3" borderId="20" xfId="0" applyNumberFormat="1" applyFont="1" applyFill="1" applyBorder="1" applyAlignment="1">
      <alignment horizontal="center"/>
    </xf>
    <xf numFmtId="168" fontId="2" fillId="0" borderId="5" xfId="2" applyNumberFormat="1" applyFont="1" applyBorder="1" applyAlignment="1">
      <alignment horizontal="center" vertical="center" wrapText="1"/>
    </xf>
    <xf numFmtId="168" fontId="2" fillId="0" borderId="5" xfId="0" applyNumberFormat="1" applyFon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/>
    </xf>
    <xf numFmtId="168" fontId="0" fillId="0" borderId="5" xfId="0" applyNumberForma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68" fontId="2" fillId="6" borderId="5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8" fontId="4" fillId="0" borderId="9" xfId="0" applyNumberFormat="1" applyFont="1" applyBorder="1" applyAlignment="1">
      <alignment horizontal="center" vertical="center"/>
    </xf>
    <xf numFmtId="8" fontId="4" fillId="0" borderId="24" xfId="0" applyNumberFormat="1" applyFont="1" applyBorder="1" applyAlignment="1">
      <alignment horizontal="center" vertical="center"/>
    </xf>
    <xf numFmtId="8" fontId="4" fillId="0" borderId="25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/>
    </xf>
    <xf numFmtId="168" fontId="0" fillId="0" borderId="24" xfId="0" applyNumberFormat="1" applyBorder="1" applyAlignment="1">
      <alignment horizontal="center"/>
    </xf>
    <xf numFmtId="168" fontId="0" fillId="0" borderId="25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6490-7124-474C-84F0-3B304679ECFD}">
  <dimension ref="A1:J6"/>
  <sheetViews>
    <sheetView workbookViewId="0">
      <selection activeCell="D3" sqref="D3"/>
    </sheetView>
  </sheetViews>
  <sheetFormatPr defaultColWidth="8.77734375" defaultRowHeight="14.4" x14ac:dyDescent="0.3"/>
  <cols>
    <col min="1" max="1" width="13.44140625" bestFit="1" customWidth="1"/>
    <col min="2" max="2" width="29.5546875" bestFit="1" customWidth="1"/>
    <col min="3" max="3" width="13.44140625" bestFit="1" customWidth="1"/>
    <col min="4" max="4" width="18" style="9" customWidth="1"/>
    <col min="5" max="5" width="18.44140625" style="9" bestFit="1" customWidth="1"/>
    <col min="6" max="6" width="14.44140625" bestFit="1" customWidth="1"/>
  </cols>
  <sheetData>
    <row r="1" spans="1:10" ht="21" x14ac:dyDescent="0.4">
      <c r="A1" s="84" t="s">
        <v>14</v>
      </c>
      <c r="B1" s="84"/>
      <c r="C1" s="84"/>
      <c r="D1" s="84"/>
      <c r="E1" s="84"/>
      <c r="F1" s="84"/>
    </row>
    <row r="2" spans="1:10" ht="28.8" x14ac:dyDescent="0.3">
      <c r="A2" s="85" t="s">
        <v>0</v>
      </c>
      <c r="B2" s="86"/>
      <c r="C2" s="89" t="s">
        <v>1</v>
      </c>
      <c r="D2" s="1">
        <v>7200</v>
      </c>
      <c r="E2" s="1" t="s">
        <v>15</v>
      </c>
      <c r="F2" s="2" t="s">
        <v>16</v>
      </c>
    </row>
    <row r="3" spans="1:10" x14ac:dyDescent="0.3">
      <c r="A3" s="87"/>
      <c r="B3" s="88"/>
      <c r="C3" s="90"/>
      <c r="D3" s="1" t="s">
        <v>17</v>
      </c>
      <c r="E3" s="1"/>
      <c r="F3" s="2"/>
    </row>
    <row r="4" spans="1:10" x14ac:dyDescent="0.3">
      <c r="A4" s="3" t="s">
        <v>4</v>
      </c>
      <c r="B4" s="4" t="s">
        <v>11</v>
      </c>
      <c r="C4" s="5">
        <v>3.54</v>
      </c>
      <c r="D4" s="6">
        <f>D2*C4/108</f>
        <v>236</v>
      </c>
      <c r="E4" s="6">
        <f>SUM(D4/2)</f>
        <v>118</v>
      </c>
      <c r="F4" s="6">
        <f>D4/2</f>
        <v>118</v>
      </c>
      <c r="J4">
        <f>1000000*0.0475*9</f>
        <v>427500</v>
      </c>
    </row>
    <row r="5" spans="1:10" x14ac:dyDescent="0.3">
      <c r="A5" s="4" t="s">
        <v>5</v>
      </c>
      <c r="B5" s="4" t="s">
        <v>12</v>
      </c>
      <c r="C5" s="5">
        <v>4.5</v>
      </c>
      <c r="D5" s="6">
        <f>D2*C5/108</f>
        <v>300</v>
      </c>
      <c r="E5" s="6">
        <f>D5/2</f>
        <v>150</v>
      </c>
      <c r="F5" s="6">
        <f>D5/2</f>
        <v>150</v>
      </c>
    </row>
    <row r="6" spans="1:10" ht="39.6" x14ac:dyDescent="0.3">
      <c r="A6" s="4" t="s">
        <v>6</v>
      </c>
      <c r="B6" s="4" t="s">
        <v>13</v>
      </c>
      <c r="C6" s="5">
        <v>3.45</v>
      </c>
      <c r="D6" s="6">
        <f>D2*C6/108</f>
        <v>230</v>
      </c>
      <c r="E6" s="6">
        <f>D6/2</f>
        <v>115</v>
      </c>
      <c r="F6" s="6">
        <f>D6/2</f>
        <v>115</v>
      </c>
    </row>
  </sheetData>
  <mergeCells count="3">
    <mergeCell ref="A1:F1"/>
    <mergeCell ref="A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CBB1-BEF4-46F6-986C-10121AB583E3}">
  <dimension ref="A1:K9"/>
  <sheetViews>
    <sheetView workbookViewId="0">
      <selection activeCell="D2" sqref="D2"/>
    </sheetView>
  </sheetViews>
  <sheetFormatPr defaultColWidth="8.77734375" defaultRowHeight="14.4" x14ac:dyDescent="0.3"/>
  <cols>
    <col min="1" max="1" width="13.44140625" bestFit="1" customWidth="1"/>
    <col min="2" max="2" width="29.5546875" bestFit="1" customWidth="1"/>
    <col min="3" max="3" width="13.44140625" bestFit="1" customWidth="1"/>
    <col min="4" max="4" width="18" style="9" customWidth="1"/>
    <col min="5" max="5" width="18.44140625" style="9" bestFit="1" customWidth="1"/>
    <col min="6" max="6" width="14.44140625" bestFit="1" customWidth="1"/>
    <col min="7" max="7" width="16.77734375" customWidth="1"/>
  </cols>
  <sheetData>
    <row r="1" spans="1:11" ht="21" x14ac:dyDescent="0.4">
      <c r="A1" s="84" t="s">
        <v>10</v>
      </c>
      <c r="B1" s="84"/>
      <c r="C1" s="84"/>
      <c r="D1" s="84"/>
      <c r="E1" s="84"/>
      <c r="F1" s="84"/>
      <c r="G1" s="84"/>
    </row>
    <row r="2" spans="1:11" ht="28.8" x14ac:dyDescent="0.3">
      <c r="A2" s="85" t="s">
        <v>0</v>
      </c>
      <c r="B2" s="86"/>
      <c r="C2" s="89" t="s">
        <v>1</v>
      </c>
      <c r="D2" s="1">
        <v>250000</v>
      </c>
      <c r="E2" s="1" t="s">
        <v>7</v>
      </c>
      <c r="F2" s="2" t="s">
        <v>8</v>
      </c>
      <c r="G2" s="91" t="s">
        <v>18</v>
      </c>
    </row>
    <row r="3" spans="1:11" ht="43.2" x14ac:dyDescent="0.3">
      <c r="A3" s="87"/>
      <c r="B3" s="88"/>
      <c r="C3" s="90"/>
      <c r="D3" s="1" t="s">
        <v>9</v>
      </c>
      <c r="E3" s="1" t="s">
        <v>2</v>
      </c>
      <c r="F3" s="2" t="s">
        <v>3</v>
      </c>
      <c r="G3" s="91"/>
    </row>
    <row r="4" spans="1:11" x14ac:dyDescent="0.3">
      <c r="A4" s="3" t="s">
        <v>4</v>
      </c>
      <c r="B4" s="4" t="s">
        <v>11</v>
      </c>
      <c r="C4" s="10">
        <v>3.5400000000000001E-2</v>
      </c>
      <c r="D4" s="6">
        <f>D2*C4/120</f>
        <v>73.75</v>
      </c>
      <c r="E4" s="6">
        <f>D4*120*6</f>
        <v>53100</v>
      </c>
      <c r="F4" s="6">
        <f>D4*120</f>
        <v>8850</v>
      </c>
      <c r="G4" s="6">
        <f>200000*C4</f>
        <v>7080</v>
      </c>
      <c r="K4">
        <f>1000000*0.0475*9</f>
        <v>427500</v>
      </c>
    </row>
    <row r="5" spans="1:11" x14ac:dyDescent="0.3">
      <c r="A5" s="4" t="s">
        <v>5</v>
      </c>
      <c r="B5" s="4" t="s">
        <v>12</v>
      </c>
      <c r="C5" s="10">
        <v>4.4999999999999998E-2</v>
      </c>
      <c r="D5" s="6">
        <f>D2*C5/120</f>
        <v>93.75</v>
      </c>
      <c r="E5" s="6">
        <f>D5*120*6</f>
        <v>67500</v>
      </c>
      <c r="F5" s="6">
        <f>D5*120</f>
        <v>11250</v>
      </c>
      <c r="G5" s="6">
        <f>200000*C5</f>
        <v>9000</v>
      </c>
    </row>
    <row r="6" spans="1:11" ht="39.6" x14ac:dyDescent="0.3">
      <c r="A6" s="4" t="s">
        <v>6</v>
      </c>
      <c r="B6" s="4" t="s">
        <v>13</v>
      </c>
      <c r="C6" s="10">
        <v>3.4500000000000003E-2</v>
      </c>
      <c r="D6" s="6">
        <f>D2*C6/120</f>
        <v>71.875</v>
      </c>
      <c r="E6" s="6">
        <f>D6*15*120</f>
        <v>129375</v>
      </c>
      <c r="F6" s="6">
        <f>D6*120</f>
        <v>8625</v>
      </c>
      <c r="G6" s="6">
        <f>200000*C6</f>
        <v>6900.0000000000009</v>
      </c>
    </row>
    <row r="7" spans="1:11" x14ac:dyDescent="0.3">
      <c r="A7" s="4"/>
      <c r="B7" s="4"/>
      <c r="C7" s="5"/>
      <c r="D7" s="6"/>
      <c r="E7" s="6"/>
      <c r="F7" s="6"/>
      <c r="G7" s="6"/>
    </row>
    <row r="8" spans="1:11" x14ac:dyDescent="0.3">
      <c r="A8" s="4"/>
      <c r="B8" s="4"/>
      <c r="C8" s="7"/>
      <c r="D8" s="6"/>
      <c r="E8" s="6"/>
      <c r="F8" s="6"/>
      <c r="G8" s="6"/>
    </row>
    <row r="9" spans="1:11" x14ac:dyDescent="0.3">
      <c r="D9" s="6"/>
      <c r="E9" s="6">
        <f>+E4+E5+E6+E7+E8</f>
        <v>249975</v>
      </c>
      <c r="F9" s="8"/>
      <c r="I9">
        <f>4400/46</f>
        <v>95.652173913043484</v>
      </c>
    </row>
  </sheetData>
  <mergeCells count="4">
    <mergeCell ref="A1:G1"/>
    <mergeCell ref="A2:B3"/>
    <mergeCell ref="C2:C3"/>
    <mergeCell ref="G2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7BC6-DA5E-4061-B107-FE1B83C8768C}">
  <dimension ref="A1:G44"/>
  <sheetViews>
    <sheetView topLeftCell="A18" workbookViewId="0">
      <selection activeCell="J18" sqref="J18"/>
    </sheetView>
  </sheetViews>
  <sheetFormatPr defaultRowHeight="14.4" x14ac:dyDescent="0.3"/>
  <sheetData>
    <row r="1" spans="1:7" ht="15" thickTop="1" x14ac:dyDescent="0.3">
      <c r="G1" s="11"/>
    </row>
    <row r="2" spans="1:7" x14ac:dyDescent="0.3">
      <c r="B2" s="12">
        <v>2020</v>
      </c>
      <c r="C2" s="12"/>
      <c r="D2" s="12">
        <v>2020</v>
      </c>
      <c r="E2" s="12" t="s">
        <v>19</v>
      </c>
      <c r="F2" s="12"/>
      <c r="G2" s="13">
        <v>2021</v>
      </c>
    </row>
    <row r="3" spans="1:7" x14ac:dyDescent="0.3">
      <c r="B3" s="12" t="s">
        <v>20</v>
      </c>
      <c r="C3" s="12"/>
      <c r="D3" s="12" t="s">
        <v>21</v>
      </c>
      <c r="E3" s="14"/>
      <c r="F3" s="14"/>
      <c r="G3" s="13" t="s">
        <v>22</v>
      </c>
    </row>
    <row r="4" spans="1:7" x14ac:dyDescent="0.3">
      <c r="G4" s="13" t="s">
        <v>23</v>
      </c>
    </row>
    <row r="5" spans="1:7" ht="21" x14ac:dyDescent="0.4">
      <c r="A5" s="15" t="s">
        <v>24</v>
      </c>
      <c r="G5" s="16"/>
    </row>
    <row r="6" spans="1:7" x14ac:dyDescent="0.3">
      <c r="G6" s="16"/>
    </row>
    <row r="7" spans="1:7" x14ac:dyDescent="0.3">
      <c r="A7" t="s">
        <v>25</v>
      </c>
      <c r="B7" s="17">
        <v>75000</v>
      </c>
      <c r="C7" s="17"/>
      <c r="D7" s="17">
        <v>72301</v>
      </c>
      <c r="E7" s="17"/>
      <c r="F7" s="17"/>
      <c r="G7" s="18">
        <v>81743.399999999994</v>
      </c>
    </row>
    <row r="8" spans="1:7" x14ac:dyDescent="0.3">
      <c r="A8" t="s">
        <v>26</v>
      </c>
      <c r="B8" s="17">
        <v>2800</v>
      </c>
      <c r="C8" s="17"/>
      <c r="D8" s="17">
        <v>2400</v>
      </c>
      <c r="E8" s="17"/>
      <c r="F8" s="17"/>
      <c r="G8" s="18">
        <v>2400</v>
      </c>
    </row>
    <row r="9" spans="1:7" x14ac:dyDescent="0.3">
      <c r="A9" t="s">
        <v>27</v>
      </c>
      <c r="B9" s="17">
        <v>300</v>
      </c>
      <c r="C9" s="17"/>
      <c r="D9" s="17">
        <v>100</v>
      </c>
      <c r="E9" s="17"/>
      <c r="F9" s="17"/>
      <c r="G9" s="18">
        <v>100</v>
      </c>
    </row>
    <row r="10" spans="1:7" x14ac:dyDescent="0.3">
      <c r="B10" s="17"/>
      <c r="C10" s="17"/>
      <c r="D10" s="17"/>
      <c r="E10" s="17"/>
      <c r="F10" s="17"/>
      <c r="G10" s="18"/>
    </row>
    <row r="11" spans="1:7" ht="16.2" x14ac:dyDescent="0.45">
      <c r="A11" s="14" t="s">
        <v>28</v>
      </c>
      <c r="B11" s="19">
        <v>78100</v>
      </c>
      <c r="C11" s="20"/>
      <c r="D11" s="19">
        <f>SUM(D7:D10)</f>
        <v>74801</v>
      </c>
      <c r="E11" s="21">
        <v>-3299</v>
      </c>
      <c r="F11" s="17"/>
      <c r="G11" s="22">
        <f>SUM(G7:G10)</f>
        <v>84243.4</v>
      </c>
    </row>
    <row r="12" spans="1:7" x14ac:dyDescent="0.3">
      <c r="B12" s="20"/>
      <c r="C12" s="20"/>
      <c r="D12" s="20"/>
      <c r="E12" s="17"/>
      <c r="F12" s="17"/>
      <c r="G12" s="18"/>
    </row>
    <row r="13" spans="1:7" ht="21" x14ac:dyDescent="0.4">
      <c r="A13" s="15" t="s">
        <v>29</v>
      </c>
      <c r="B13" s="17"/>
      <c r="C13" s="17"/>
      <c r="D13" s="17"/>
      <c r="E13" s="17"/>
      <c r="F13" s="17"/>
      <c r="G13" s="18"/>
    </row>
    <row r="14" spans="1:7" x14ac:dyDescent="0.3">
      <c r="B14" s="17"/>
      <c r="C14" s="17"/>
      <c r="D14" s="17"/>
      <c r="E14" s="17"/>
      <c r="F14" s="17"/>
      <c r="G14" s="18"/>
    </row>
    <row r="15" spans="1:7" x14ac:dyDescent="0.3">
      <c r="A15" t="s">
        <v>30</v>
      </c>
      <c r="B15" s="17"/>
      <c r="C15" s="17"/>
      <c r="D15" s="17">
        <v>350</v>
      </c>
      <c r="E15" s="17"/>
      <c r="F15" s="17"/>
      <c r="G15" s="18">
        <v>350</v>
      </c>
    </row>
    <row r="16" spans="1:7" x14ac:dyDescent="0.3">
      <c r="A16" t="s">
        <v>31</v>
      </c>
      <c r="B16" s="17">
        <v>50</v>
      </c>
      <c r="C16" s="17"/>
      <c r="D16" s="17">
        <v>30</v>
      </c>
      <c r="E16" s="17"/>
      <c r="F16" s="17"/>
      <c r="G16" s="18">
        <v>50</v>
      </c>
    </row>
    <row r="17" spans="1:7" x14ac:dyDescent="0.3">
      <c r="A17" t="s">
        <v>32</v>
      </c>
      <c r="B17" s="17"/>
      <c r="C17" s="17"/>
      <c r="D17" s="17">
        <v>77</v>
      </c>
      <c r="E17" s="17"/>
      <c r="F17" s="17"/>
      <c r="G17" s="18">
        <v>48</v>
      </c>
    </row>
    <row r="18" spans="1:7" x14ac:dyDescent="0.3">
      <c r="A18" t="s">
        <v>33</v>
      </c>
      <c r="B18" s="17">
        <v>4000</v>
      </c>
      <c r="C18" s="17"/>
      <c r="D18" s="17">
        <v>3110.18</v>
      </c>
      <c r="E18" s="17"/>
      <c r="F18" s="17"/>
      <c r="G18" s="18">
        <v>5100</v>
      </c>
    </row>
    <row r="19" spans="1:7" x14ac:dyDescent="0.3">
      <c r="A19" t="s">
        <v>34</v>
      </c>
      <c r="B19" s="17"/>
      <c r="C19" s="17"/>
      <c r="D19" s="17">
        <v>2500</v>
      </c>
      <c r="E19" s="17"/>
      <c r="F19" s="17"/>
      <c r="G19" s="18"/>
    </row>
    <row r="20" spans="1:7" x14ac:dyDescent="0.3">
      <c r="A20" t="s">
        <v>35</v>
      </c>
      <c r="B20" s="17"/>
      <c r="C20" s="17"/>
      <c r="D20" s="17">
        <v>1360</v>
      </c>
      <c r="E20" s="17"/>
      <c r="F20" s="17"/>
      <c r="G20" s="18"/>
    </row>
    <row r="21" spans="1:7" x14ac:dyDescent="0.3">
      <c r="A21" t="s">
        <v>36</v>
      </c>
      <c r="B21" s="17">
        <v>2000</v>
      </c>
      <c r="C21" s="17"/>
      <c r="D21" s="17">
        <v>2407.5</v>
      </c>
      <c r="E21" s="17"/>
      <c r="F21" s="17"/>
      <c r="G21" s="18">
        <v>3210</v>
      </c>
    </row>
    <row r="22" spans="1:7" x14ac:dyDescent="0.3">
      <c r="A22" t="s">
        <v>37</v>
      </c>
      <c r="B22" s="17">
        <v>3800</v>
      </c>
      <c r="C22" s="17"/>
      <c r="D22" s="17">
        <v>3225</v>
      </c>
      <c r="E22" s="17"/>
      <c r="F22" s="17"/>
      <c r="G22" s="18">
        <v>1200</v>
      </c>
    </row>
    <row r="23" spans="1:7" x14ac:dyDescent="0.3">
      <c r="A23" t="s">
        <v>38</v>
      </c>
      <c r="B23" s="17">
        <v>2150</v>
      </c>
      <c r="C23" s="17"/>
      <c r="D23" s="17">
        <v>2066.8000000000002</v>
      </c>
      <c r="E23" s="17"/>
      <c r="F23" s="17"/>
      <c r="G23" s="18">
        <v>2100</v>
      </c>
    </row>
    <row r="24" spans="1:7" x14ac:dyDescent="0.3">
      <c r="A24" t="s">
        <v>39</v>
      </c>
      <c r="B24" s="17">
        <v>310</v>
      </c>
      <c r="C24" s="17"/>
      <c r="D24" s="17">
        <v>315.83999999999997</v>
      </c>
      <c r="E24" s="17"/>
      <c r="F24" s="17"/>
      <c r="G24" s="18">
        <v>350</v>
      </c>
    </row>
    <row r="25" spans="1:7" x14ac:dyDescent="0.3">
      <c r="A25" t="s">
        <v>40</v>
      </c>
      <c r="B25" s="17">
        <v>1400</v>
      </c>
      <c r="C25" s="17"/>
      <c r="D25" s="17">
        <v>1141.0999999999999</v>
      </c>
      <c r="E25" s="17"/>
      <c r="F25" s="17"/>
      <c r="G25" s="18">
        <v>1500</v>
      </c>
    </row>
    <row r="26" spans="1:7" x14ac:dyDescent="0.3">
      <c r="A26" t="s">
        <v>41</v>
      </c>
      <c r="B26" s="17">
        <v>9500</v>
      </c>
      <c r="C26" s="17"/>
      <c r="D26" s="17">
        <v>8982.48</v>
      </c>
      <c r="E26" s="17"/>
      <c r="F26" s="17"/>
      <c r="G26" s="18">
        <v>9300</v>
      </c>
    </row>
    <row r="27" spans="1:7" x14ac:dyDescent="0.3">
      <c r="A27" t="s">
        <v>42</v>
      </c>
      <c r="B27" s="17">
        <v>6300</v>
      </c>
      <c r="C27" s="17"/>
      <c r="D27" s="17">
        <v>4404</v>
      </c>
      <c r="E27" s="17"/>
      <c r="F27" s="17"/>
      <c r="G27" s="18">
        <v>5180</v>
      </c>
    </row>
    <row r="28" spans="1:7" x14ac:dyDescent="0.3">
      <c r="A28" t="s">
        <v>43</v>
      </c>
      <c r="B28" s="17">
        <v>20000</v>
      </c>
      <c r="C28" s="17"/>
      <c r="D28" s="17">
        <v>23947</v>
      </c>
      <c r="E28" s="17"/>
      <c r="F28" s="17"/>
      <c r="G28" s="18">
        <v>26100</v>
      </c>
    </row>
    <row r="29" spans="1:7" x14ac:dyDescent="0.3">
      <c r="A29" t="s">
        <v>44</v>
      </c>
      <c r="B29" s="17">
        <v>3600</v>
      </c>
      <c r="C29" s="17"/>
      <c r="D29" s="17">
        <v>2880</v>
      </c>
      <c r="E29" s="17"/>
      <c r="F29" s="17"/>
      <c r="G29" s="18">
        <v>2880</v>
      </c>
    </row>
    <row r="30" spans="1:7" x14ac:dyDescent="0.3">
      <c r="A30" t="s">
        <v>45</v>
      </c>
      <c r="B30" s="17">
        <v>500</v>
      </c>
      <c r="C30" s="17"/>
      <c r="D30" s="17">
        <v>600</v>
      </c>
      <c r="E30" s="17"/>
      <c r="F30" s="17"/>
      <c r="G30" s="18">
        <v>700</v>
      </c>
    </row>
    <row r="31" spans="1:7" x14ac:dyDescent="0.3">
      <c r="A31" t="s">
        <v>46</v>
      </c>
      <c r="B31" s="17"/>
      <c r="C31" s="17"/>
      <c r="D31" s="17"/>
      <c r="E31" s="17"/>
      <c r="F31" s="17"/>
      <c r="G31" s="18">
        <v>119</v>
      </c>
    </row>
    <row r="32" spans="1:7" x14ac:dyDescent="0.3">
      <c r="A32" t="s">
        <v>47</v>
      </c>
      <c r="B32" s="17">
        <v>2700</v>
      </c>
      <c r="C32" s="17"/>
      <c r="D32" s="17"/>
      <c r="E32" s="17"/>
      <c r="F32" s="17"/>
      <c r="G32" s="18"/>
    </row>
    <row r="33" spans="1:7" x14ac:dyDescent="0.3">
      <c r="A33" t="s">
        <v>48</v>
      </c>
      <c r="B33" s="17"/>
      <c r="C33" s="17"/>
      <c r="D33" s="17">
        <v>232</v>
      </c>
      <c r="E33" s="17"/>
      <c r="F33" s="17"/>
      <c r="G33" s="18">
        <v>232</v>
      </c>
    </row>
    <row r="34" spans="1:7" x14ac:dyDescent="0.3">
      <c r="A34" t="s">
        <v>49</v>
      </c>
      <c r="B34" s="17">
        <v>650</v>
      </c>
      <c r="C34" s="17"/>
      <c r="D34" s="17">
        <v>599.6</v>
      </c>
      <c r="E34" s="17"/>
      <c r="F34" s="17"/>
      <c r="G34" s="18">
        <v>650</v>
      </c>
    </row>
    <row r="35" spans="1:7" x14ac:dyDescent="0.3">
      <c r="A35" t="s">
        <v>50</v>
      </c>
      <c r="B35" s="17">
        <v>3100</v>
      </c>
      <c r="C35" s="17"/>
      <c r="D35" s="17">
        <v>3767.5</v>
      </c>
      <c r="E35" s="17"/>
      <c r="F35" s="17"/>
      <c r="G35" s="18">
        <v>3900</v>
      </c>
    </row>
    <row r="36" spans="1:7" x14ac:dyDescent="0.3">
      <c r="A36" t="s">
        <v>51</v>
      </c>
      <c r="B36" s="17">
        <v>15000</v>
      </c>
      <c r="C36" s="17"/>
      <c r="D36" s="17">
        <v>19939</v>
      </c>
      <c r="E36" s="17"/>
      <c r="F36" s="17"/>
      <c r="G36" s="18">
        <v>21274.400000000001</v>
      </c>
    </row>
    <row r="37" spans="1:7" x14ac:dyDescent="0.3">
      <c r="B37" s="17"/>
      <c r="C37" s="17"/>
      <c r="D37" s="17"/>
      <c r="E37" s="17"/>
      <c r="F37" s="17"/>
      <c r="G37" s="18"/>
    </row>
    <row r="38" spans="1:7" x14ac:dyDescent="0.3">
      <c r="A38" t="s">
        <v>52</v>
      </c>
      <c r="B38" s="17">
        <v>3040</v>
      </c>
      <c r="C38" s="17"/>
      <c r="D38" s="17"/>
      <c r="E38" s="17"/>
      <c r="F38" s="17"/>
      <c r="G38" s="23" t="s">
        <v>53</v>
      </c>
    </row>
    <row r="39" spans="1:7" x14ac:dyDescent="0.3">
      <c r="B39" s="17"/>
      <c r="C39" s="17"/>
      <c r="D39" s="17"/>
      <c r="E39" s="17"/>
      <c r="F39" s="17"/>
      <c r="G39" s="18"/>
    </row>
    <row r="40" spans="1:7" ht="16.2" x14ac:dyDescent="0.45">
      <c r="A40" s="14" t="s">
        <v>54</v>
      </c>
      <c r="B40" s="19">
        <f>SUM(B15:B39)</f>
        <v>78100</v>
      </c>
      <c r="C40" s="20"/>
      <c r="D40" s="19">
        <f>SUM(D15:D39)</f>
        <v>81935</v>
      </c>
      <c r="E40" s="24">
        <v>-3835</v>
      </c>
      <c r="F40" s="17"/>
      <c r="G40" s="22">
        <f>SUM(G15:G39)</f>
        <v>84243.4</v>
      </c>
    </row>
    <row r="41" spans="1:7" ht="16.2" x14ac:dyDescent="0.45">
      <c r="A41" t="s">
        <v>55</v>
      </c>
      <c r="D41" s="19"/>
      <c r="E41" s="25"/>
      <c r="G41" s="16"/>
    </row>
    <row r="42" spans="1:7" ht="16.2" x14ac:dyDescent="0.45">
      <c r="A42" s="14" t="s">
        <v>56</v>
      </c>
      <c r="D42" s="19">
        <v>-74801</v>
      </c>
      <c r="E42" s="25"/>
      <c r="G42" s="16"/>
    </row>
    <row r="43" spans="1:7" ht="16.8" thickBot="1" x14ac:dyDescent="0.5">
      <c r="A43" s="26" t="s">
        <v>57</v>
      </c>
      <c r="B43" s="17"/>
      <c r="C43" s="17"/>
      <c r="D43" s="21">
        <v>-7134</v>
      </c>
      <c r="E43" s="24"/>
      <c r="G43" s="27"/>
    </row>
    <row r="44" spans="1:7" ht="16.8" thickTop="1" x14ac:dyDescent="0.45">
      <c r="A44" s="26"/>
      <c r="D44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95BE-A5B9-4169-BE8E-4A3AB3236284}">
  <dimension ref="A1:G44"/>
  <sheetViews>
    <sheetView workbookViewId="0">
      <selection activeCell="C1" sqref="C1:C1048576"/>
    </sheetView>
  </sheetViews>
  <sheetFormatPr defaultRowHeight="14.4" x14ac:dyDescent="0.3"/>
  <cols>
    <col min="1" max="1" width="28.44140625" bestFit="1" customWidth="1"/>
    <col min="2" max="2" width="11.5546875" bestFit="1" customWidth="1"/>
    <col min="3" max="3" width="8.77734375" customWidth="1"/>
    <col min="4" max="4" width="12.21875" bestFit="1" customWidth="1"/>
    <col min="5" max="5" width="11.21875" bestFit="1" customWidth="1"/>
    <col min="6" max="6" width="8.77734375" customWidth="1"/>
    <col min="7" max="7" width="16.21875" bestFit="1" customWidth="1"/>
  </cols>
  <sheetData>
    <row r="1" spans="1:7" ht="15" thickTop="1" x14ac:dyDescent="0.3">
      <c r="G1" s="11"/>
    </row>
    <row r="2" spans="1:7" x14ac:dyDescent="0.3">
      <c r="B2" s="12">
        <v>2020</v>
      </c>
      <c r="C2" s="12"/>
      <c r="D2" s="12">
        <v>2020</v>
      </c>
      <c r="E2" s="12" t="s">
        <v>19</v>
      </c>
      <c r="F2" s="12"/>
      <c r="G2" s="13">
        <v>2021</v>
      </c>
    </row>
    <row r="3" spans="1:7" x14ac:dyDescent="0.3">
      <c r="B3" s="12" t="s">
        <v>20</v>
      </c>
      <c r="C3" s="12"/>
      <c r="D3" s="12" t="s">
        <v>21</v>
      </c>
      <c r="E3" s="14"/>
      <c r="F3" s="14"/>
      <c r="G3" s="13" t="s">
        <v>22</v>
      </c>
    </row>
    <row r="4" spans="1:7" x14ac:dyDescent="0.3">
      <c r="G4" s="13" t="s">
        <v>23</v>
      </c>
    </row>
    <row r="5" spans="1:7" ht="21" x14ac:dyDescent="0.4">
      <c r="A5" s="15" t="s">
        <v>24</v>
      </c>
      <c r="G5" s="16"/>
    </row>
    <row r="6" spans="1:7" x14ac:dyDescent="0.3">
      <c r="G6" s="16"/>
    </row>
    <row r="7" spans="1:7" x14ac:dyDescent="0.3">
      <c r="A7" t="s">
        <v>25</v>
      </c>
      <c r="B7" s="17">
        <v>75000</v>
      </c>
      <c r="C7" s="17"/>
      <c r="D7" s="17">
        <v>72301</v>
      </c>
      <c r="E7" s="17"/>
      <c r="F7" s="17"/>
      <c r="G7" s="18">
        <v>81743.399999999994</v>
      </c>
    </row>
    <row r="8" spans="1:7" x14ac:dyDescent="0.3">
      <c r="A8" t="s">
        <v>26</v>
      </c>
      <c r="B8" s="17">
        <v>2800</v>
      </c>
      <c r="C8" s="17"/>
      <c r="D8" s="17">
        <v>2400</v>
      </c>
      <c r="E8" s="17"/>
      <c r="F8" s="17"/>
      <c r="G8" s="18">
        <v>2400</v>
      </c>
    </row>
    <row r="9" spans="1:7" x14ac:dyDescent="0.3">
      <c r="A9" t="s">
        <v>27</v>
      </c>
      <c r="B9" s="17">
        <v>300</v>
      </c>
      <c r="C9" s="17"/>
      <c r="D9" s="17">
        <v>100</v>
      </c>
      <c r="E9" s="17"/>
      <c r="F9" s="17"/>
      <c r="G9" s="18">
        <v>100</v>
      </c>
    </row>
    <row r="10" spans="1:7" x14ac:dyDescent="0.3">
      <c r="B10" s="17"/>
      <c r="C10" s="17"/>
      <c r="D10" s="17"/>
      <c r="E10" s="17"/>
      <c r="F10" s="17"/>
      <c r="G10" s="18"/>
    </row>
    <row r="11" spans="1:7" ht="16.2" x14ac:dyDescent="0.45">
      <c r="A11" s="14" t="s">
        <v>28</v>
      </c>
      <c r="B11" s="19">
        <v>78100</v>
      </c>
      <c r="C11" s="20"/>
      <c r="D11" s="19">
        <f>SUM(D7:D10)</f>
        <v>74801</v>
      </c>
      <c r="E11" s="21">
        <v>-3299</v>
      </c>
      <c r="F11" s="17"/>
      <c r="G11" s="22">
        <f>SUM(G7:G10)</f>
        <v>84243.4</v>
      </c>
    </row>
    <row r="12" spans="1:7" x14ac:dyDescent="0.3">
      <c r="B12" s="20"/>
      <c r="C12" s="20"/>
      <c r="D12" s="20"/>
      <c r="E12" s="17"/>
      <c r="F12" s="17"/>
      <c r="G12" s="18"/>
    </row>
    <row r="13" spans="1:7" ht="21" x14ac:dyDescent="0.4">
      <c r="A13" s="15" t="s">
        <v>29</v>
      </c>
      <c r="B13" s="17"/>
      <c r="C13" s="17"/>
      <c r="D13" s="17"/>
      <c r="E13" s="17"/>
      <c r="F13" s="17"/>
      <c r="G13" s="18"/>
    </row>
    <row r="14" spans="1:7" x14ac:dyDescent="0.3">
      <c r="B14" s="17"/>
      <c r="C14" s="17"/>
      <c r="D14" s="17"/>
      <c r="E14" s="17"/>
      <c r="F14" s="17"/>
      <c r="G14" s="18"/>
    </row>
    <row r="15" spans="1:7" x14ac:dyDescent="0.3">
      <c r="A15" t="s">
        <v>30</v>
      </c>
      <c r="B15" s="17"/>
      <c r="C15" s="17"/>
      <c r="D15" s="17">
        <v>350</v>
      </c>
      <c r="E15" s="17"/>
      <c r="F15" s="17"/>
      <c r="G15" s="18">
        <v>350</v>
      </c>
    </row>
    <row r="16" spans="1:7" x14ac:dyDescent="0.3">
      <c r="A16" t="s">
        <v>31</v>
      </c>
      <c r="B16" s="17">
        <v>50</v>
      </c>
      <c r="C16" s="17"/>
      <c r="D16" s="17">
        <v>30</v>
      </c>
      <c r="E16" s="17"/>
      <c r="F16" s="17"/>
      <c r="G16" s="18">
        <v>50</v>
      </c>
    </row>
    <row r="17" spans="1:7" x14ac:dyDescent="0.3">
      <c r="A17" t="s">
        <v>32</v>
      </c>
      <c r="B17" s="17"/>
      <c r="C17" s="17"/>
      <c r="D17" s="17">
        <v>77</v>
      </c>
      <c r="E17" s="17"/>
      <c r="F17" s="17"/>
      <c r="G17" s="18">
        <v>48</v>
      </c>
    </row>
    <row r="18" spans="1:7" x14ac:dyDescent="0.3">
      <c r="A18" t="s">
        <v>33</v>
      </c>
      <c r="B18" s="17">
        <v>4000</v>
      </c>
      <c r="C18" s="17"/>
      <c r="D18" s="17">
        <v>3110.18</v>
      </c>
      <c r="E18" s="17"/>
      <c r="F18" s="17"/>
      <c r="G18" s="18">
        <v>5100</v>
      </c>
    </row>
    <row r="19" spans="1:7" x14ac:dyDescent="0.3">
      <c r="A19" t="s">
        <v>34</v>
      </c>
      <c r="B19" s="17"/>
      <c r="C19" s="17"/>
      <c r="D19" s="17">
        <v>2500</v>
      </c>
      <c r="E19" s="17"/>
      <c r="F19" s="17"/>
      <c r="G19" s="18"/>
    </row>
    <row r="20" spans="1:7" x14ac:dyDescent="0.3">
      <c r="A20" t="s">
        <v>35</v>
      </c>
      <c r="B20" s="17"/>
      <c r="C20" s="17"/>
      <c r="D20" s="17">
        <v>1360</v>
      </c>
      <c r="E20" s="17"/>
      <c r="F20" s="17"/>
      <c r="G20" s="18"/>
    </row>
    <row r="21" spans="1:7" x14ac:dyDescent="0.3">
      <c r="A21" t="s">
        <v>36</v>
      </c>
      <c r="B21" s="17">
        <v>2000</v>
      </c>
      <c r="C21" s="17"/>
      <c r="D21" s="17">
        <v>2407.5</v>
      </c>
      <c r="E21" s="17"/>
      <c r="F21" s="17"/>
      <c r="G21" s="18">
        <v>3210</v>
      </c>
    </row>
    <row r="22" spans="1:7" x14ac:dyDescent="0.3">
      <c r="A22" t="s">
        <v>37</v>
      </c>
      <c r="B22" s="17">
        <v>3800</v>
      </c>
      <c r="C22" s="17"/>
      <c r="D22" s="17">
        <v>3225</v>
      </c>
      <c r="E22" s="17"/>
      <c r="F22" s="17"/>
      <c r="G22" s="18">
        <v>1200</v>
      </c>
    </row>
    <row r="23" spans="1:7" x14ac:dyDescent="0.3">
      <c r="A23" t="s">
        <v>38</v>
      </c>
      <c r="B23" s="17">
        <v>2150</v>
      </c>
      <c r="C23" s="17"/>
      <c r="D23" s="17">
        <v>2066.8000000000002</v>
      </c>
      <c r="E23" s="17"/>
      <c r="F23" s="17"/>
      <c r="G23" s="18">
        <v>2100</v>
      </c>
    </row>
    <row r="24" spans="1:7" x14ac:dyDescent="0.3">
      <c r="A24" t="s">
        <v>39</v>
      </c>
      <c r="B24" s="17">
        <v>310</v>
      </c>
      <c r="C24" s="17"/>
      <c r="D24" s="17">
        <v>315.83999999999997</v>
      </c>
      <c r="E24" s="17"/>
      <c r="F24" s="17"/>
      <c r="G24" s="18">
        <v>350</v>
      </c>
    </row>
    <row r="25" spans="1:7" x14ac:dyDescent="0.3">
      <c r="A25" t="s">
        <v>40</v>
      </c>
      <c r="B25" s="17">
        <v>1400</v>
      </c>
      <c r="C25" s="17"/>
      <c r="D25" s="17">
        <v>1141.0999999999999</v>
      </c>
      <c r="E25" s="17"/>
      <c r="F25" s="17"/>
      <c r="G25" s="18">
        <v>1500</v>
      </c>
    </row>
    <row r="26" spans="1:7" x14ac:dyDescent="0.3">
      <c r="A26" t="s">
        <v>41</v>
      </c>
      <c r="B26" s="17">
        <v>9500</v>
      </c>
      <c r="C26" s="17"/>
      <c r="D26" s="17">
        <v>8982.48</v>
      </c>
      <c r="E26" s="17"/>
      <c r="F26" s="17"/>
      <c r="G26" s="18">
        <v>9300</v>
      </c>
    </row>
    <row r="27" spans="1:7" x14ac:dyDescent="0.3">
      <c r="A27" t="s">
        <v>42</v>
      </c>
      <c r="B27" s="17">
        <v>6300</v>
      </c>
      <c r="C27" s="17"/>
      <c r="D27" s="17">
        <v>4404</v>
      </c>
      <c r="E27" s="17"/>
      <c r="F27" s="17"/>
      <c r="G27" s="18">
        <v>5180</v>
      </c>
    </row>
    <row r="28" spans="1:7" x14ac:dyDescent="0.3">
      <c r="A28" t="s">
        <v>43</v>
      </c>
      <c r="B28" s="17">
        <v>20000</v>
      </c>
      <c r="C28" s="17"/>
      <c r="D28" s="17">
        <v>23947</v>
      </c>
      <c r="E28" s="17"/>
      <c r="F28" s="17"/>
      <c r="G28" s="18">
        <v>26100</v>
      </c>
    </row>
    <row r="29" spans="1:7" x14ac:dyDescent="0.3">
      <c r="A29" t="s">
        <v>44</v>
      </c>
      <c r="B29" s="17">
        <v>3600</v>
      </c>
      <c r="C29" s="17"/>
      <c r="D29" s="17">
        <v>2880</v>
      </c>
      <c r="E29" s="17"/>
      <c r="F29" s="17"/>
      <c r="G29" s="18">
        <v>2880</v>
      </c>
    </row>
    <row r="30" spans="1:7" x14ac:dyDescent="0.3">
      <c r="A30" t="s">
        <v>45</v>
      </c>
      <c r="B30" s="17">
        <v>500</v>
      </c>
      <c r="C30" s="17"/>
      <c r="D30" s="17">
        <v>600</v>
      </c>
      <c r="E30" s="17"/>
      <c r="F30" s="17"/>
      <c r="G30" s="18">
        <v>700</v>
      </c>
    </row>
    <row r="31" spans="1:7" x14ac:dyDescent="0.3">
      <c r="A31" t="s">
        <v>46</v>
      </c>
      <c r="B31" s="17"/>
      <c r="C31" s="17"/>
      <c r="D31" s="17"/>
      <c r="E31" s="17"/>
      <c r="F31" s="17"/>
      <c r="G31" s="18">
        <v>119</v>
      </c>
    </row>
    <row r="32" spans="1:7" x14ac:dyDescent="0.3">
      <c r="A32" t="s">
        <v>47</v>
      </c>
      <c r="B32" s="17">
        <v>2700</v>
      </c>
      <c r="C32" s="17"/>
      <c r="D32" s="17"/>
      <c r="E32" s="17"/>
      <c r="F32" s="17"/>
      <c r="G32" s="18"/>
    </row>
    <row r="33" spans="1:7" x14ac:dyDescent="0.3">
      <c r="A33" t="s">
        <v>48</v>
      </c>
      <c r="B33" s="17"/>
      <c r="C33" s="17"/>
      <c r="D33" s="17">
        <v>232</v>
      </c>
      <c r="E33" s="17"/>
      <c r="F33" s="17"/>
      <c r="G33" s="18">
        <v>232</v>
      </c>
    </row>
    <row r="34" spans="1:7" x14ac:dyDescent="0.3">
      <c r="A34" t="s">
        <v>49</v>
      </c>
      <c r="B34" s="17">
        <v>650</v>
      </c>
      <c r="C34" s="17"/>
      <c r="D34" s="17">
        <v>599.6</v>
      </c>
      <c r="E34" s="17"/>
      <c r="F34" s="17"/>
      <c r="G34" s="18">
        <v>650</v>
      </c>
    </row>
    <row r="35" spans="1:7" x14ac:dyDescent="0.3">
      <c r="A35" t="s">
        <v>50</v>
      </c>
      <c r="B35" s="17">
        <v>3100</v>
      </c>
      <c r="C35" s="17"/>
      <c r="D35" s="17">
        <v>3767.5</v>
      </c>
      <c r="E35" s="17"/>
      <c r="F35" s="17"/>
      <c r="G35" s="18">
        <v>3900</v>
      </c>
    </row>
    <row r="36" spans="1:7" x14ac:dyDescent="0.3">
      <c r="A36" t="s">
        <v>51</v>
      </c>
      <c r="B36" s="17">
        <v>15000</v>
      </c>
      <c r="C36" s="17"/>
      <c r="D36" s="17">
        <v>19939</v>
      </c>
      <c r="E36" s="17"/>
      <c r="F36" s="17"/>
      <c r="G36" s="18">
        <v>21274.400000000001</v>
      </c>
    </row>
    <row r="37" spans="1:7" x14ac:dyDescent="0.3">
      <c r="B37" s="17"/>
      <c r="C37" s="17"/>
      <c r="D37" s="17"/>
      <c r="E37" s="17"/>
      <c r="F37" s="17"/>
      <c r="G37" s="18"/>
    </row>
    <row r="38" spans="1:7" x14ac:dyDescent="0.3">
      <c r="A38" t="s">
        <v>52</v>
      </c>
      <c r="B38" s="17">
        <v>3040</v>
      </c>
      <c r="C38" s="17"/>
      <c r="D38" s="17"/>
      <c r="E38" s="17"/>
      <c r="F38" s="17"/>
      <c r="G38" s="23" t="s">
        <v>53</v>
      </c>
    </row>
    <row r="39" spans="1:7" x14ac:dyDescent="0.3">
      <c r="B39" s="17"/>
      <c r="C39" s="17"/>
      <c r="D39" s="17"/>
      <c r="E39" s="17"/>
      <c r="F39" s="17"/>
      <c r="G39" s="18"/>
    </row>
    <row r="40" spans="1:7" ht="16.2" x14ac:dyDescent="0.45">
      <c r="A40" s="14" t="s">
        <v>54</v>
      </c>
      <c r="B40" s="19">
        <f>SUM(B15:B39)</f>
        <v>78100</v>
      </c>
      <c r="C40" s="20"/>
      <c r="D40" s="19">
        <f>SUM(D15:D39)</f>
        <v>81935</v>
      </c>
      <c r="E40" s="24">
        <v>-3835</v>
      </c>
      <c r="F40" s="17"/>
      <c r="G40" s="22">
        <f>SUM(G15:G39)</f>
        <v>84243.4</v>
      </c>
    </row>
    <row r="41" spans="1:7" ht="16.2" x14ac:dyDescent="0.45">
      <c r="A41" t="s">
        <v>55</v>
      </c>
      <c r="D41" s="19"/>
      <c r="E41" s="25"/>
      <c r="G41" s="16"/>
    </row>
    <row r="42" spans="1:7" ht="16.2" x14ac:dyDescent="0.45">
      <c r="A42" s="14" t="s">
        <v>56</v>
      </c>
      <c r="D42" s="19">
        <v>-74801</v>
      </c>
      <c r="E42" s="25"/>
      <c r="G42" s="16"/>
    </row>
    <row r="43" spans="1:7" ht="16.8" thickBot="1" x14ac:dyDescent="0.5">
      <c r="A43" s="26" t="s">
        <v>57</v>
      </c>
      <c r="B43" s="17"/>
      <c r="C43" s="17"/>
      <c r="D43" s="21">
        <v>-7134</v>
      </c>
      <c r="E43" s="24"/>
      <c r="G43" s="27"/>
    </row>
    <row r="44" spans="1:7" ht="16.8" thickTop="1" x14ac:dyDescent="0.45">
      <c r="A44" s="26"/>
      <c r="D44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E335-9775-496D-BAC3-CEEBFB1DDB89}">
  <dimension ref="A1:G50"/>
  <sheetViews>
    <sheetView workbookViewId="0">
      <selection activeCell="F7" sqref="F7"/>
    </sheetView>
  </sheetViews>
  <sheetFormatPr defaultRowHeight="14.4" x14ac:dyDescent="0.3"/>
  <cols>
    <col min="1" max="1" width="30.21875" customWidth="1"/>
    <col min="2" max="3" width="12" customWidth="1"/>
    <col min="4" max="4" width="11.77734375" customWidth="1"/>
    <col min="5" max="5" width="4.77734375" customWidth="1"/>
    <col min="6" max="6" width="11.77734375" customWidth="1"/>
  </cols>
  <sheetData>
    <row r="1" spans="1:7" ht="21" customHeight="1" x14ac:dyDescent="0.3"/>
    <row r="2" spans="1:7" x14ac:dyDescent="0.3">
      <c r="B2" s="12">
        <v>2021</v>
      </c>
      <c r="C2" s="12">
        <v>2021</v>
      </c>
      <c r="D2" s="12" t="s">
        <v>19</v>
      </c>
      <c r="E2" s="12"/>
      <c r="F2" s="12">
        <v>2022</v>
      </c>
      <c r="G2" s="14"/>
    </row>
    <row r="3" spans="1:7" x14ac:dyDescent="0.3">
      <c r="B3" s="12" t="s">
        <v>20</v>
      </c>
      <c r="C3" s="12" t="s">
        <v>21</v>
      </c>
      <c r="D3" s="14"/>
      <c r="E3" s="14"/>
      <c r="F3" s="12" t="s">
        <v>22</v>
      </c>
      <c r="G3" s="14"/>
    </row>
    <row r="4" spans="1:7" x14ac:dyDescent="0.3">
      <c r="F4" s="12" t="s">
        <v>23</v>
      </c>
    </row>
    <row r="5" spans="1:7" ht="21" x14ac:dyDescent="0.4">
      <c r="A5" s="15" t="s">
        <v>24</v>
      </c>
    </row>
    <row r="7" spans="1:7" x14ac:dyDescent="0.3">
      <c r="A7" t="s">
        <v>25</v>
      </c>
      <c r="B7" s="17">
        <v>80388</v>
      </c>
      <c r="C7" s="17">
        <v>72301</v>
      </c>
      <c r="D7" s="17"/>
      <c r="E7" s="17"/>
      <c r="F7" s="29">
        <f>F50</f>
        <v>95300.28</v>
      </c>
    </row>
    <row r="8" spans="1:7" x14ac:dyDescent="0.3">
      <c r="A8" t="s">
        <v>26</v>
      </c>
      <c r="B8" s="17">
        <v>2400</v>
      </c>
      <c r="C8" s="17">
        <v>2400</v>
      </c>
      <c r="D8" s="17"/>
      <c r="E8" s="17"/>
      <c r="F8" s="17">
        <v>2400</v>
      </c>
    </row>
    <row r="9" spans="1:7" x14ac:dyDescent="0.3">
      <c r="A9" t="s">
        <v>27</v>
      </c>
      <c r="B9" s="17">
        <v>100</v>
      </c>
      <c r="C9" s="17">
        <v>100</v>
      </c>
      <c r="D9" s="17"/>
      <c r="E9" s="17"/>
      <c r="F9" s="17">
        <v>100</v>
      </c>
    </row>
    <row r="10" spans="1:7" x14ac:dyDescent="0.3">
      <c r="B10" s="17"/>
      <c r="C10" s="17"/>
      <c r="D10" s="17"/>
      <c r="E10" s="17"/>
      <c r="F10" s="17"/>
    </row>
    <row r="11" spans="1:7" ht="16.2" x14ac:dyDescent="0.45">
      <c r="A11" s="14" t="s">
        <v>28</v>
      </c>
      <c r="B11" s="19">
        <f>SUM(B7:B10)</f>
        <v>82888</v>
      </c>
      <c r="C11" s="19">
        <f>SUM(C7:C10)</f>
        <v>74801</v>
      </c>
      <c r="D11" s="19">
        <v>-3299</v>
      </c>
      <c r="E11" s="17"/>
      <c r="F11" s="19">
        <f>SUM(F7:F10)</f>
        <v>97800.28</v>
      </c>
    </row>
    <row r="12" spans="1:7" x14ac:dyDescent="0.3">
      <c r="B12" s="17"/>
      <c r="C12" s="20"/>
      <c r="D12" s="17"/>
      <c r="E12" s="17"/>
      <c r="F12" s="17"/>
    </row>
    <row r="13" spans="1:7" ht="21" x14ac:dyDescent="0.4">
      <c r="A13" s="15" t="s">
        <v>29</v>
      </c>
      <c r="B13" s="17"/>
      <c r="C13" s="17"/>
      <c r="D13" s="17"/>
      <c r="E13" s="17"/>
      <c r="F13" s="17"/>
    </row>
    <row r="14" spans="1:7" x14ac:dyDescent="0.3">
      <c r="B14" s="17"/>
      <c r="C14" s="17"/>
      <c r="D14" s="17"/>
      <c r="E14" s="17"/>
      <c r="F14" s="17"/>
    </row>
    <row r="15" spans="1:7" x14ac:dyDescent="0.3">
      <c r="A15" t="s">
        <v>30</v>
      </c>
      <c r="B15" s="17">
        <v>350</v>
      </c>
      <c r="C15" s="17">
        <v>350</v>
      </c>
      <c r="D15" s="17"/>
      <c r="E15" s="17"/>
      <c r="F15" s="17">
        <v>350</v>
      </c>
    </row>
    <row r="16" spans="1:7" x14ac:dyDescent="0.3">
      <c r="A16" t="s">
        <v>31</v>
      </c>
      <c r="B16" s="17">
        <v>48</v>
      </c>
      <c r="C16" s="17">
        <v>30</v>
      </c>
      <c r="D16" s="17"/>
      <c r="E16" s="17"/>
      <c r="F16" s="17">
        <v>48</v>
      </c>
    </row>
    <row r="17" spans="1:6" x14ac:dyDescent="0.3">
      <c r="A17" t="s">
        <v>32</v>
      </c>
      <c r="B17" s="17">
        <v>48</v>
      </c>
      <c r="C17" s="17">
        <v>77</v>
      </c>
      <c r="D17" s="17"/>
      <c r="E17" s="17"/>
      <c r="F17" s="17">
        <v>48</v>
      </c>
    </row>
    <row r="18" spans="1:6" x14ac:dyDescent="0.3">
      <c r="A18" t="s">
        <v>33</v>
      </c>
      <c r="B18" s="17">
        <v>5000</v>
      </c>
      <c r="C18" s="17">
        <v>3110.18</v>
      </c>
      <c r="D18" s="17"/>
      <c r="E18" s="17"/>
      <c r="F18" s="17">
        <v>5000</v>
      </c>
    </row>
    <row r="19" spans="1:6" x14ac:dyDescent="0.3">
      <c r="A19" t="s">
        <v>34</v>
      </c>
      <c r="B19" s="17"/>
      <c r="C19" s="17">
        <v>2500</v>
      </c>
      <c r="D19" s="17"/>
      <c r="E19" s="17"/>
      <c r="F19" s="17"/>
    </row>
    <row r="20" spans="1:6" x14ac:dyDescent="0.3">
      <c r="A20" t="s">
        <v>35</v>
      </c>
      <c r="B20" s="17"/>
      <c r="C20" s="17">
        <v>1360</v>
      </c>
      <c r="D20" s="17"/>
      <c r="E20" s="17"/>
      <c r="F20" s="17"/>
    </row>
    <row r="21" spans="1:6" x14ac:dyDescent="0.3">
      <c r="A21" t="s">
        <v>36</v>
      </c>
      <c r="B21" s="17">
        <v>2600</v>
      </c>
      <c r="C21" s="17">
        <v>2407.5</v>
      </c>
      <c r="D21" s="17"/>
      <c r="E21" s="17"/>
      <c r="F21" s="17">
        <v>2600</v>
      </c>
    </row>
    <row r="22" spans="1:6" x14ac:dyDescent="0.3">
      <c r="A22" t="s">
        <v>37</v>
      </c>
      <c r="B22" s="17">
        <v>360</v>
      </c>
      <c r="C22" s="17">
        <v>3225</v>
      </c>
      <c r="D22" s="17"/>
      <c r="E22" s="17"/>
      <c r="F22" s="17">
        <v>360</v>
      </c>
    </row>
    <row r="23" spans="1:6" x14ac:dyDescent="0.3">
      <c r="A23" t="s">
        <v>38</v>
      </c>
      <c r="B23" s="17">
        <v>2250</v>
      </c>
      <c r="C23" s="17">
        <v>2066.8000000000002</v>
      </c>
      <c r="D23" s="17"/>
      <c r="E23" s="17"/>
      <c r="F23" s="17">
        <v>2250</v>
      </c>
    </row>
    <row r="24" spans="1:6" x14ac:dyDescent="0.3">
      <c r="A24" t="s">
        <v>39</v>
      </c>
      <c r="B24" s="17">
        <v>350</v>
      </c>
      <c r="C24" s="17">
        <v>315.83999999999997</v>
      </c>
      <c r="D24" s="17"/>
      <c r="E24" s="17"/>
      <c r="F24" s="17">
        <v>350</v>
      </c>
    </row>
    <row r="25" spans="1:6" x14ac:dyDescent="0.3">
      <c r="A25" t="s">
        <v>40</v>
      </c>
      <c r="B25" s="17">
        <v>1500</v>
      </c>
      <c r="C25" s="17">
        <v>1141.0999999999999</v>
      </c>
      <c r="D25" s="17"/>
      <c r="E25" s="17"/>
      <c r="F25" s="17">
        <v>1500</v>
      </c>
    </row>
    <row r="26" spans="1:6" x14ac:dyDescent="0.3">
      <c r="A26" t="s">
        <v>41</v>
      </c>
      <c r="B26" s="17">
        <v>9500</v>
      </c>
      <c r="C26" s="17">
        <v>8982.48</v>
      </c>
      <c r="D26" s="17"/>
      <c r="E26" s="17"/>
      <c r="F26" s="17">
        <v>9500</v>
      </c>
    </row>
    <row r="27" spans="1:6" x14ac:dyDescent="0.3">
      <c r="A27" t="s">
        <v>42</v>
      </c>
      <c r="B27" s="17">
        <v>5000</v>
      </c>
      <c r="C27" s="17">
        <v>4404</v>
      </c>
      <c r="D27" s="17"/>
      <c r="E27" s="17"/>
      <c r="F27" s="17">
        <v>5000</v>
      </c>
    </row>
    <row r="28" spans="1:6" x14ac:dyDescent="0.3">
      <c r="A28" t="s">
        <v>43</v>
      </c>
      <c r="B28" s="17">
        <v>26100</v>
      </c>
      <c r="C28" s="17">
        <v>23947</v>
      </c>
      <c r="D28" s="17"/>
      <c r="E28" s="17"/>
      <c r="F28" s="17">
        <v>28000</v>
      </c>
    </row>
    <row r="29" spans="1:6" x14ac:dyDescent="0.3">
      <c r="A29" t="s">
        <v>44</v>
      </c>
      <c r="B29" s="17">
        <v>3000</v>
      </c>
      <c r="C29" s="17">
        <v>2880</v>
      </c>
      <c r="D29" s="17"/>
      <c r="E29" s="17"/>
      <c r="F29" s="17">
        <v>3000</v>
      </c>
    </row>
    <row r="30" spans="1:6" x14ac:dyDescent="0.3">
      <c r="A30" t="s">
        <v>45</v>
      </c>
      <c r="B30" s="17">
        <v>700</v>
      </c>
      <c r="C30" s="17">
        <v>600</v>
      </c>
      <c r="D30" s="17"/>
      <c r="E30" s="17"/>
      <c r="F30" s="17">
        <v>700</v>
      </c>
    </row>
    <row r="31" spans="1:6" x14ac:dyDescent="0.3">
      <c r="A31" t="s">
        <v>47</v>
      </c>
      <c r="B31" s="17"/>
      <c r="C31" s="17"/>
      <c r="D31" s="17"/>
      <c r="E31" s="17"/>
      <c r="F31" s="17"/>
    </row>
    <row r="32" spans="1:6" x14ac:dyDescent="0.3">
      <c r="A32" t="s">
        <v>48</v>
      </c>
      <c r="B32" s="17">
        <v>232</v>
      </c>
      <c r="C32" s="17">
        <v>232</v>
      </c>
      <c r="D32" s="17"/>
      <c r="E32" s="17"/>
      <c r="F32" s="17">
        <v>232</v>
      </c>
    </row>
    <row r="33" spans="1:6" x14ac:dyDescent="0.3">
      <c r="A33" t="s">
        <v>49</v>
      </c>
      <c r="B33" s="17">
        <v>650</v>
      </c>
      <c r="C33" s="17">
        <v>599.6</v>
      </c>
      <c r="D33" s="17"/>
      <c r="E33" s="17"/>
      <c r="F33" s="17">
        <v>650</v>
      </c>
    </row>
    <row r="34" spans="1:6" x14ac:dyDescent="0.3">
      <c r="A34" t="s">
        <v>50</v>
      </c>
      <c r="B34" s="17">
        <v>4000</v>
      </c>
      <c r="C34" s="17">
        <v>3767.5</v>
      </c>
      <c r="D34" s="17"/>
      <c r="E34" s="17"/>
      <c r="F34" s="17">
        <v>5000</v>
      </c>
    </row>
    <row r="35" spans="1:6" x14ac:dyDescent="0.3">
      <c r="A35" t="s">
        <v>51</v>
      </c>
      <c r="B35" s="17">
        <v>21000</v>
      </c>
      <c r="C35" s="17">
        <v>19939</v>
      </c>
      <c r="D35" s="17"/>
      <c r="E35" s="17"/>
      <c r="F35" s="17">
        <v>21000</v>
      </c>
    </row>
    <row r="36" spans="1:6" x14ac:dyDescent="0.3">
      <c r="B36" s="17"/>
      <c r="C36" s="17"/>
      <c r="D36" s="17"/>
      <c r="E36" s="17"/>
      <c r="F36" s="17"/>
    </row>
    <row r="37" spans="1:6" x14ac:dyDescent="0.3">
      <c r="A37" t="s">
        <v>52</v>
      </c>
      <c r="B37" s="17">
        <v>1000</v>
      </c>
      <c r="C37" s="17"/>
      <c r="D37" s="17"/>
      <c r="E37" s="17"/>
      <c r="F37" s="17">
        <v>1000</v>
      </c>
    </row>
    <row r="38" spans="1:6" x14ac:dyDescent="0.3">
      <c r="B38" s="17"/>
      <c r="C38" s="17"/>
      <c r="D38" s="17"/>
      <c r="E38" s="17"/>
      <c r="F38" s="17"/>
    </row>
    <row r="39" spans="1:6" ht="16.2" x14ac:dyDescent="0.45">
      <c r="A39" s="14" t="s">
        <v>54</v>
      </c>
      <c r="B39" s="19">
        <f>SUM(B15:B38)</f>
        <v>83688</v>
      </c>
      <c r="C39" s="19">
        <f>SUM(C15:C38)</f>
        <v>81935</v>
      </c>
      <c r="D39" s="20">
        <v>-3835</v>
      </c>
      <c r="E39" s="17"/>
      <c r="F39" s="19">
        <f>SUM(F15:F38)</f>
        <v>86588</v>
      </c>
    </row>
    <row r="40" spans="1:6" ht="16.2" x14ac:dyDescent="0.45">
      <c r="A40" t="s">
        <v>55</v>
      </c>
      <c r="C40" s="19"/>
    </row>
    <row r="41" spans="1:6" ht="16.2" x14ac:dyDescent="0.45">
      <c r="A41" s="14" t="s">
        <v>56</v>
      </c>
      <c r="C41" s="19">
        <v>74801</v>
      </c>
    </row>
    <row r="42" spans="1:6" x14ac:dyDescent="0.3">
      <c r="A42" t="s">
        <v>58</v>
      </c>
      <c r="B42" s="17"/>
      <c r="C42" s="20">
        <v>-7134</v>
      </c>
      <c r="D42" s="20"/>
      <c r="F42" s="17"/>
    </row>
    <row r="43" spans="1:6" x14ac:dyDescent="0.3">
      <c r="C43" s="17"/>
    </row>
    <row r="45" spans="1:6" x14ac:dyDescent="0.3">
      <c r="A45" s="85" t="s">
        <v>0</v>
      </c>
      <c r="B45" s="86"/>
      <c r="C45" s="89" t="s">
        <v>1</v>
      </c>
      <c r="D45" s="1">
        <v>7200</v>
      </c>
    </row>
    <row r="46" spans="1:6" ht="37.5" customHeight="1" x14ac:dyDescent="0.3">
      <c r="A46" s="87"/>
      <c r="B46" s="88"/>
      <c r="C46" s="90"/>
      <c r="D46" s="1"/>
    </row>
    <row r="47" spans="1:6" ht="39.6" x14ac:dyDescent="0.3">
      <c r="A47" s="3" t="s">
        <v>4</v>
      </c>
      <c r="B47" s="4" t="s">
        <v>11</v>
      </c>
      <c r="C47" s="5">
        <v>3.54</v>
      </c>
      <c r="D47" s="6">
        <v>280.04000000000002</v>
      </c>
      <c r="F47" s="9">
        <f>D47*6*12</f>
        <v>20162.880000000005</v>
      </c>
    </row>
    <row r="48" spans="1:6" ht="39.6" x14ac:dyDescent="0.3">
      <c r="A48" s="4" t="s">
        <v>5</v>
      </c>
      <c r="B48" s="4" t="s">
        <v>12</v>
      </c>
      <c r="C48" s="5">
        <v>4.5</v>
      </c>
      <c r="D48" s="6">
        <v>357.75</v>
      </c>
      <c r="F48" s="9">
        <f>D48*6*12</f>
        <v>25758</v>
      </c>
    </row>
    <row r="49" spans="1:6" ht="105.6" x14ac:dyDescent="0.3">
      <c r="A49" s="4" t="s">
        <v>6</v>
      </c>
      <c r="B49" s="4" t="s">
        <v>13</v>
      </c>
      <c r="C49" s="5">
        <v>3.45</v>
      </c>
      <c r="D49" s="6">
        <v>274.33</v>
      </c>
      <c r="F49" s="9">
        <f>D49*15*12</f>
        <v>49379.399999999994</v>
      </c>
    </row>
    <row r="50" spans="1:6" x14ac:dyDescent="0.3">
      <c r="F50" s="9">
        <f>SUM(F47:F49)</f>
        <v>95300.28</v>
      </c>
    </row>
  </sheetData>
  <mergeCells count="2">
    <mergeCell ref="A45:B46"/>
    <mergeCell ref="C45:C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0C19-BD3F-40C7-8053-CDE64CF58A6A}">
  <dimension ref="A1:N48"/>
  <sheetViews>
    <sheetView topLeftCell="A17" workbookViewId="0">
      <selection activeCell="L35" sqref="L35"/>
    </sheetView>
  </sheetViews>
  <sheetFormatPr defaultRowHeight="14.4" x14ac:dyDescent="0.3"/>
  <cols>
    <col min="1" max="1" width="30.21875" customWidth="1"/>
    <col min="2" max="2" width="12" style="56" customWidth="1"/>
    <col min="3" max="3" width="14.21875" style="56" bestFit="1" customWidth="1"/>
    <col min="4" max="4" width="16.21875" style="56" bestFit="1" customWidth="1"/>
    <col min="6" max="6" width="10.21875" bestFit="1" customWidth="1"/>
    <col min="7" max="7" width="13.77734375" bestFit="1" customWidth="1"/>
    <col min="8" max="8" width="11.5546875" bestFit="1" customWidth="1"/>
    <col min="9" max="9" width="14.21875" bestFit="1" customWidth="1"/>
    <col min="12" max="12" width="10.21875" bestFit="1" customWidth="1"/>
  </cols>
  <sheetData>
    <row r="1" spans="1:12" ht="21" customHeight="1" x14ac:dyDescent="0.3"/>
    <row r="2" spans="1:12" x14ac:dyDescent="0.3">
      <c r="B2" s="12">
        <v>2022</v>
      </c>
      <c r="C2" s="12">
        <v>2022</v>
      </c>
      <c r="D2" s="12">
        <v>2023</v>
      </c>
      <c r="E2" s="14"/>
    </row>
    <row r="3" spans="1:12" x14ac:dyDescent="0.3">
      <c r="B3" s="12" t="s">
        <v>20</v>
      </c>
      <c r="C3" s="12" t="s">
        <v>21</v>
      </c>
      <c r="D3" s="12" t="s">
        <v>22</v>
      </c>
      <c r="E3" s="14"/>
      <c r="F3" s="12" t="s">
        <v>96</v>
      </c>
    </row>
    <row r="4" spans="1:12" ht="21" x14ac:dyDescent="0.4">
      <c r="A4" s="55" t="s">
        <v>24</v>
      </c>
    </row>
    <row r="5" spans="1:12" x14ac:dyDescent="0.3">
      <c r="A5" t="s">
        <v>25</v>
      </c>
      <c r="B5" s="57">
        <f>F48</f>
        <v>95300.28</v>
      </c>
      <c r="C5" s="57">
        <v>95300.28</v>
      </c>
      <c r="D5" s="57">
        <v>96000</v>
      </c>
    </row>
    <row r="6" spans="1:12" x14ac:dyDescent="0.3">
      <c r="A6" t="s">
        <v>26</v>
      </c>
      <c r="B6" s="57">
        <v>2400</v>
      </c>
      <c r="C6" s="57">
        <v>3500</v>
      </c>
      <c r="D6" s="57">
        <v>3500</v>
      </c>
    </row>
    <row r="7" spans="1:12" x14ac:dyDescent="0.3">
      <c r="A7" t="s">
        <v>27</v>
      </c>
      <c r="B7" s="57">
        <v>100</v>
      </c>
      <c r="C7" s="57">
        <v>0</v>
      </c>
      <c r="D7" s="57">
        <v>0</v>
      </c>
    </row>
    <row r="8" spans="1:12" ht="16.2" x14ac:dyDescent="0.45">
      <c r="A8" s="14" t="s">
        <v>28</v>
      </c>
      <c r="B8" s="58">
        <f>SUM(B5:B7)</f>
        <v>97800.28</v>
      </c>
      <c r="C8" s="58">
        <f>SUM(C5:C7)</f>
        <v>98800.28</v>
      </c>
      <c r="D8" s="58">
        <f>SUM(D5:D7)</f>
        <v>99500</v>
      </c>
      <c r="F8" s="54" t="s">
        <v>93</v>
      </c>
    </row>
    <row r="9" spans="1:12" ht="21" x14ac:dyDescent="0.4">
      <c r="A9" s="55" t="s">
        <v>29</v>
      </c>
      <c r="B9" s="59"/>
      <c r="C9" s="59"/>
      <c r="D9" s="59"/>
    </row>
    <row r="10" spans="1:12" x14ac:dyDescent="0.3">
      <c r="A10" t="s">
        <v>30</v>
      </c>
      <c r="B10" s="61">
        <v>350</v>
      </c>
      <c r="C10" s="61">
        <v>400</v>
      </c>
      <c r="D10" s="61">
        <v>400</v>
      </c>
    </row>
    <row r="11" spans="1:12" x14ac:dyDescent="0.3">
      <c r="A11" t="s">
        <v>31</v>
      </c>
      <c r="B11" s="61">
        <v>48</v>
      </c>
      <c r="C11" s="61">
        <v>0</v>
      </c>
      <c r="D11" s="61">
        <v>0</v>
      </c>
    </row>
    <row r="12" spans="1:12" x14ac:dyDescent="0.3">
      <c r="A12" t="s">
        <v>32</v>
      </c>
      <c r="B12" s="61">
        <v>48</v>
      </c>
      <c r="C12" s="66">
        <v>3700</v>
      </c>
      <c r="D12" s="61">
        <v>50</v>
      </c>
      <c r="F12" t="s">
        <v>94</v>
      </c>
      <c r="L12" s="54" t="s">
        <v>101</v>
      </c>
    </row>
    <row r="13" spans="1:12" x14ac:dyDescent="0.3">
      <c r="A13" t="s">
        <v>33</v>
      </c>
      <c r="B13" s="61">
        <v>5000</v>
      </c>
      <c r="C13" s="66">
        <v>1105</v>
      </c>
      <c r="D13" s="61">
        <v>5000</v>
      </c>
    </row>
    <row r="14" spans="1:12" x14ac:dyDescent="0.3">
      <c r="A14" t="s">
        <v>99</v>
      </c>
      <c r="B14" s="61">
        <v>0</v>
      </c>
      <c r="C14" s="61">
        <v>2500</v>
      </c>
      <c r="D14" s="61">
        <v>500</v>
      </c>
    </row>
    <row r="15" spans="1:12" x14ac:dyDescent="0.3">
      <c r="A15" t="s">
        <v>100</v>
      </c>
      <c r="B15" s="61">
        <v>10000</v>
      </c>
      <c r="C15" s="61">
        <v>15000</v>
      </c>
      <c r="D15" s="61">
        <v>500</v>
      </c>
    </row>
    <row r="16" spans="1:12" x14ac:dyDescent="0.3">
      <c r="A16" t="s">
        <v>36</v>
      </c>
      <c r="B16" s="61">
        <v>2600</v>
      </c>
      <c r="C16" s="61">
        <v>4500</v>
      </c>
      <c r="D16" s="61">
        <v>2600</v>
      </c>
    </row>
    <row r="17" spans="1:14" x14ac:dyDescent="0.3">
      <c r="A17" t="s">
        <v>37</v>
      </c>
      <c r="B17" s="61">
        <v>360</v>
      </c>
      <c r="C17" s="61">
        <v>500</v>
      </c>
      <c r="D17" s="61">
        <v>1200</v>
      </c>
    </row>
    <row r="18" spans="1:14" x14ac:dyDescent="0.3">
      <c r="A18" t="s">
        <v>38</v>
      </c>
      <c r="B18" s="61">
        <v>2250</v>
      </c>
      <c r="C18" s="61">
        <v>2300</v>
      </c>
      <c r="D18" s="61">
        <v>2400</v>
      </c>
    </row>
    <row r="19" spans="1:14" x14ac:dyDescent="0.3">
      <c r="A19" t="s">
        <v>39</v>
      </c>
      <c r="B19" s="61">
        <v>350</v>
      </c>
      <c r="C19" s="61">
        <v>300</v>
      </c>
      <c r="D19" s="61">
        <v>350</v>
      </c>
    </row>
    <row r="20" spans="1:14" x14ac:dyDescent="0.3">
      <c r="A20" t="s">
        <v>87</v>
      </c>
      <c r="B20" s="61">
        <v>0</v>
      </c>
      <c r="C20" s="61">
        <v>900</v>
      </c>
      <c r="D20" s="61">
        <v>1000</v>
      </c>
    </row>
    <row r="21" spans="1:14" x14ac:dyDescent="0.3">
      <c r="A21" t="s">
        <v>40</v>
      </c>
      <c r="B21" s="61">
        <v>1500</v>
      </c>
      <c r="C21" s="61">
        <v>1500</v>
      </c>
      <c r="D21" s="61">
        <v>1500</v>
      </c>
    </row>
    <row r="22" spans="1:14" x14ac:dyDescent="0.3">
      <c r="A22" t="s">
        <v>41</v>
      </c>
      <c r="B22" s="61">
        <v>9500</v>
      </c>
      <c r="C22" s="61">
        <v>10500</v>
      </c>
      <c r="D22" s="61">
        <v>11500</v>
      </c>
    </row>
    <row r="23" spans="1:14" x14ac:dyDescent="0.3">
      <c r="A23" t="s">
        <v>88</v>
      </c>
      <c r="B23" s="61">
        <v>0</v>
      </c>
      <c r="C23" s="61">
        <v>350</v>
      </c>
      <c r="D23" s="61">
        <v>350</v>
      </c>
    </row>
    <row r="24" spans="1:14" x14ac:dyDescent="0.3">
      <c r="A24" t="s">
        <v>42</v>
      </c>
      <c r="B24" s="61">
        <v>5000</v>
      </c>
      <c r="C24" s="61">
        <v>7100</v>
      </c>
      <c r="D24" s="61">
        <v>8000</v>
      </c>
    </row>
    <row r="25" spans="1:14" x14ac:dyDescent="0.3">
      <c r="A25" t="s">
        <v>43</v>
      </c>
      <c r="B25" s="61">
        <v>28000</v>
      </c>
      <c r="C25" s="66">
        <v>36000</v>
      </c>
      <c r="D25" s="66">
        <v>30000</v>
      </c>
      <c r="F25" t="s">
        <v>95</v>
      </c>
      <c r="N25" s="54"/>
    </row>
    <row r="26" spans="1:14" x14ac:dyDescent="0.3">
      <c r="A26" t="s">
        <v>89</v>
      </c>
      <c r="B26" s="61">
        <v>0</v>
      </c>
      <c r="C26" s="61">
        <v>1200</v>
      </c>
      <c r="D26" s="61">
        <v>600</v>
      </c>
    </row>
    <row r="27" spans="1:14" x14ac:dyDescent="0.3">
      <c r="A27" t="s">
        <v>44</v>
      </c>
      <c r="B27" s="61">
        <v>3000</v>
      </c>
      <c r="C27" s="61">
        <v>3500</v>
      </c>
      <c r="D27" s="61">
        <v>3700</v>
      </c>
    </row>
    <row r="28" spans="1:14" x14ac:dyDescent="0.3">
      <c r="A28" t="s">
        <v>45</v>
      </c>
      <c r="B28" s="61">
        <v>700</v>
      </c>
      <c r="C28" s="61">
        <v>400</v>
      </c>
      <c r="D28" s="61">
        <v>400</v>
      </c>
    </row>
    <row r="29" spans="1:14" x14ac:dyDescent="0.3">
      <c r="A29" t="s">
        <v>48</v>
      </c>
      <c r="B29" s="61">
        <v>232</v>
      </c>
      <c r="C29" s="61">
        <v>232</v>
      </c>
      <c r="D29" s="61">
        <v>232</v>
      </c>
    </row>
    <row r="30" spans="1:14" x14ac:dyDescent="0.3">
      <c r="A30" t="s">
        <v>49</v>
      </c>
      <c r="B30" s="61">
        <v>650</v>
      </c>
      <c r="C30" s="61">
        <v>825</v>
      </c>
      <c r="D30" s="61">
        <v>925</v>
      </c>
    </row>
    <row r="31" spans="1:14" x14ac:dyDescent="0.3">
      <c r="A31" t="s">
        <v>92</v>
      </c>
      <c r="B31" s="61">
        <v>0</v>
      </c>
      <c r="C31" s="61">
        <v>3750</v>
      </c>
      <c r="D31" s="61">
        <v>3500</v>
      </c>
    </row>
    <row r="32" spans="1:14" x14ac:dyDescent="0.3">
      <c r="A32" t="s">
        <v>91</v>
      </c>
      <c r="B32" s="61">
        <v>0</v>
      </c>
      <c r="C32" s="61">
        <v>700</v>
      </c>
      <c r="D32" s="61">
        <v>725</v>
      </c>
    </row>
    <row r="33" spans="1:9" x14ac:dyDescent="0.3">
      <c r="A33" t="s">
        <v>90</v>
      </c>
      <c r="B33" s="61">
        <v>0</v>
      </c>
      <c r="C33" s="61">
        <v>4200</v>
      </c>
      <c r="D33" s="61">
        <v>4200</v>
      </c>
    </row>
    <row r="34" spans="1:9" x14ac:dyDescent="0.3">
      <c r="A34" t="s">
        <v>51</v>
      </c>
      <c r="B34" s="61">
        <v>21000</v>
      </c>
      <c r="C34" s="61">
        <v>16800</v>
      </c>
      <c r="D34" s="61">
        <v>18000</v>
      </c>
    </row>
    <row r="35" spans="1:9" ht="15" thickBot="1" x14ac:dyDescent="0.35">
      <c r="A35" t="s">
        <v>52</v>
      </c>
      <c r="B35" s="65">
        <v>1000</v>
      </c>
      <c r="C35" s="65">
        <v>0</v>
      </c>
      <c r="D35" s="65">
        <v>0</v>
      </c>
    </row>
    <row r="36" spans="1:9" x14ac:dyDescent="0.3">
      <c r="A36" s="14" t="s">
        <v>54</v>
      </c>
      <c r="B36" s="64">
        <f>SUM(B10:B35)</f>
        <v>91588</v>
      </c>
      <c r="C36" s="64">
        <f>SUM(C10:C35)</f>
        <v>118262</v>
      </c>
      <c r="D36" s="64">
        <f>SUM(D10:D35)</f>
        <v>97632</v>
      </c>
    </row>
    <row r="37" spans="1:9" ht="16.2" x14ac:dyDescent="0.45">
      <c r="A37" t="s">
        <v>55</v>
      </c>
      <c r="C37" s="62"/>
    </row>
    <row r="38" spans="1:9" ht="16.2" x14ac:dyDescent="0.45">
      <c r="A38" s="14" t="s">
        <v>56</v>
      </c>
      <c r="B38" s="63">
        <f>B8</f>
        <v>97800.28</v>
      </c>
      <c r="C38" s="62">
        <f>C8</f>
        <v>98800.28</v>
      </c>
      <c r="D38" s="63">
        <f>D8</f>
        <v>99500</v>
      </c>
    </row>
    <row r="39" spans="1:9" x14ac:dyDescent="0.3">
      <c r="A39" t="s">
        <v>58</v>
      </c>
      <c r="B39" s="59">
        <f>B38-B36</f>
        <v>6212.2799999999988</v>
      </c>
      <c r="C39" s="60">
        <f>C38-C36</f>
        <v>-19461.72</v>
      </c>
      <c r="D39" s="59">
        <f>D38-D36</f>
        <v>1868</v>
      </c>
    </row>
    <row r="40" spans="1:9" x14ac:dyDescent="0.3">
      <c r="C40" s="59"/>
      <c r="G40" s="50"/>
    </row>
    <row r="42" spans="1:9" x14ac:dyDescent="0.3">
      <c r="A42" s="85" t="s">
        <v>0</v>
      </c>
      <c r="B42" s="86"/>
      <c r="C42" s="89" t="s">
        <v>1</v>
      </c>
      <c r="D42" s="1">
        <v>7200</v>
      </c>
    </row>
    <row r="43" spans="1:9" x14ac:dyDescent="0.3">
      <c r="A43" s="87"/>
      <c r="B43" s="88"/>
      <c r="C43" s="90"/>
      <c r="D43" s="1"/>
    </row>
    <row r="44" spans="1:9" ht="37.5" customHeight="1" x14ac:dyDescent="0.3">
      <c r="A44" s="3" t="s">
        <v>4</v>
      </c>
      <c r="B44" s="4" t="s">
        <v>11</v>
      </c>
      <c r="C44" s="5">
        <v>3.54</v>
      </c>
      <c r="D44" s="6">
        <v>280.04000000000002</v>
      </c>
    </row>
    <row r="45" spans="1:9" ht="39.6" x14ac:dyDescent="0.3">
      <c r="A45" s="4" t="s">
        <v>5</v>
      </c>
      <c r="B45" s="4" t="s">
        <v>12</v>
      </c>
      <c r="C45" s="5">
        <v>4.5</v>
      </c>
      <c r="D45" s="6">
        <v>357.75</v>
      </c>
      <c r="F45" s="9">
        <f>D44*6*12</f>
        <v>20162.880000000005</v>
      </c>
      <c r="G45" s="51">
        <f>D5*0.0354</f>
        <v>3398.4</v>
      </c>
      <c r="H45" s="52">
        <f>G45*6</f>
        <v>20390.400000000001</v>
      </c>
      <c r="I45" s="52">
        <f>G45/12</f>
        <v>283.2</v>
      </c>
    </row>
    <row r="46" spans="1:9" ht="105.6" x14ac:dyDescent="0.3">
      <c r="A46" s="4" t="s">
        <v>6</v>
      </c>
      <c r="B46" s="4" t="s">
        <v>13</v>
      </c>
      <c r="C46" s="5">
        <v>3.45</v>
      </c>
      <c r="D46" s="6">
        <v>274.33</v>
      </c>
      <c r="F46" s="9">
        <f>D45*6*12</f>
        <v>25758</v>
      </c>
      <c r="G46" s="53">
        <f>D5*0.045</f>
        <v>4320</v>
      </c>
      <c r="H46" s="53">
        <f>G46*6</f>
        <v>25920</v>
      </c>
      <c r="I46" s="53">
        <f>G46/12</f>
        <v>360</v>
      </c>
    </row>
    <row r="47" spans="1:9" x14ac:dyDescent="0.3">
      <c r="F47" s="9">
        <f>D46*15*12</f>
        <v>49379.399999999994</v>
      </c>
      <c r="G47" s="53">
        <f>D5*0.0345</f>
        <v>3312.0000000000005</v>
      </c>
      <c r="H47" s="53">
        <f>G47*15</f>
        <v>49680.000000000007</v>
      </c>
      <c r="I47" s="53">
        <f>G47/12</f>
        <v>276.00000000000006</v>
      </c>
    </row>
    <row r="48" spans="1:9" x14ac:dyDescent="0.3">
      <c r="F48" s="9">
        <f>SUM(F45:F47)</f>
        <v>95300.28</v>
      </c>
      <c r="G48" s="54"/>
      <c r="H48" s="52">
        <f>H45+H46+H47</f>
        <v>95990.400000000009</v>
      </c>
    </row>
  </sheetData>
  <mergeCells count="2">
    <mergeCell ref="A42:B43"/>
    <mergeCell ref="C42:C4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C8FA-749D-4ED2-A226-74E3ACB9138C}">
  <dimension ref="A1:H46"/>
  <sheetViews>
    <sheetView tabSelected="1" topLeftCell="A31" zoomScaleNormal="100" workbookViewId="0">
      <selection activeCell="D25" sqref="D25"/>
    </sheetView>
  </sheetViews>
  <sheetFormatPr defaultRowHeight="14.4" x14ac:dyDescent="0.3"/>
  <cols>
    <col min="1" max="1" width="28.44140625" bestFit="1" customWidth="1"/>
    <col min="2" max="2" width="16.21875" bestFit="1" customWidth="1"/>
    <col min="3" max="3" width="17.5546875" bestFit="1" customWidth="1"/>
    <col min="4" max="4" width="16.21875" bestFit="1" customWidth="1"/>
    <col min="7" max="7" width="11.77734375" bestFit="1" customWidth="1"/>
  </cols>
  <sheetData>
    <row r="1" spans="1:8" x14ac:dyDescent="0.3">
      <c r="B1" s="56"/>
      <c r="C1" s="56"/>
      <c r="D1" s="56"/>
    </row>
    <row r="2" spans="1:8" x14ac:dyDescent="0.3">
      <c r="B2" s="12">
        <v>2023</v>
      </c>
      <c r="C2" s="12">
        <v>2023</v>
      </c>
      <c r="D2" s="12">
        <v>2024</v>
      </c>
      <c r="E2" s="12"/>
    </row>
    <row r="3" spans="1:8" x14ac:dyDescent="0.3">
      <c r="B3" s="12" t="s">
        <v>20</v>
      </c>
      <c r="C3" s="12" t="s">
        <v>108</v>
      </c>
      <c r="D3" s="12" t="s">
        <v>22</v>
      </c>
    </row>
    <row r="4" spans="1:8" ht="21" x14ac:dyDescent="0.4">
      <c r="A4" s="55" t="s">
        <v>24</v>
      </c>
      <c r="B4" s="56"/>
      <c r="C4" s="56"/>
      <c r="D4" s="56"/>
    </row>
    <row r="5" spans="1:8" x14ac:dyDescent="0.3">
      <c r="A5" t="s">
        <v>25</v>
      </c>
      <c r="B5" s="57">
        <v>96000</v>
      </c>
      <c r="C5" s="57">
        <v>95300.28</v>
      </c>
      <c r="D5" s="57">
        <f>D36-D6</f>
        <v>129842</v>
      </c>
    </row>
    <row r="6" spans="1:8" x14ac:dyDescent="0.3">
      <c r="A6" t="s">
        <v>26</v>
      </c>
      <c r="B6" s="57">
        <v>3500</v>
      </c>
      <c r="C6" s="57">
        <v>3200</v>
      </c>
      <c r="D6" s="57">
        <v>3500</v>
      </c>
    </row>
    <row r="7" spans="1:8" x14ac:dyDescent="0.3">
      <c r="A7" t="s">
        <v>27</v>
      </c>
      <c r="B7" s="57">
        <v>0</v>
      </c>
      <c r="C7" s="57">
        <v>0</v>
      </c>
      <c r="D7" s="57">
        <v>0</v>
      </c>
    </row>
    <row r="8" spans="1:8" ht="16.2" x14ac:dyDescent="0.45">
      <c r="A8" s="14" t="s">
        <v>28</v>
      </c>
      <c r="B8" s="58">
        <f>SUM(B5:B7)</f>
        <v>99500</v>
      </c>
      <c r="C8" s="58">
        <f>SUM(C5:C7)</f>
        <v>98500.28</v>
      </c>
      <c r="D8" s="58">
        <f>SUM(D5:D7)</f>
        <v>133342</v>
      </c>
    </row>
    <row r="9" spans="1:8" ht="21" x14ac:dyDescent="0.4">
      <c r="A9" s="55" t="s">
        <v>29</v>
      </c>
      <c r="B9" s="59"/>
      <c r="C9" s="59"/>
      <c r="D9" s="59"/>
    </row>
    <row r="10" spans="1:8" x14ac:dyDescent="0.3">
      <c r="A10" t="s">
        <v>30</v>
      </c>
      <c r="B10" s="61">
        <v>400</v>
      </c>
      <c r="C10" s="61">
        <v>750</v>
      </c>
      <c r="D10" s="61">
        <v>400</v>
      </c>
    </row>
    <row r="11" spans="1:8" x14ac:dyDescent="0.3">
      <c r="A11" t="s">
        <v>31</v>
      </c>
      <c r="B11" s="61">
        <v>0</v>
      </c>
      <c r="C11" s="61">
        <v>0</v>
      </c>
      <c r="D11" s="61">
        <v>0</v>
      </c>
    </row>
    <row r="12" spans="1:8" x14ac:dyDescent="0.3">
      <c r="A12" t="s">
        <v>32</v>
      </c>
      <c r="B12" s="61">
        <v>50</v>
      </c>
      <c r="C12" s="67">
        <v>250</v>
      </c>
      <c r="D12" s="61">
        <v>50</v>
      </c>
    </row>
    <row r="13" spans="1:8" x14ac:dyDescent="0.3">
      <c r="A13" t="s">
        <v>33</v>
      </c>
      <c r="B13" s="61">
        <v>5000</v>
      </c>
      <c r="C13" s="67">
        <v>250</v>
      </c>
      <c r="D13" s="61">
        <v>1500</v>
      </c>
    </row>
    <row r="14" spans="1:8" x14ac:dyDescent="0.3">
      <c r="A14" t="s">
        <v>99</v>
      </c>
      <c r="B14" s="61">
        <v>500</v>
      </c>
      <c r="C14" s="61">
        <v>87010</v>
      </c>
      <c r="D14" s="61">
        <v>500</v>
      </c>
      <c r="G14" t="s">
        <v>102</v>
      </c>
    </row>
    <row r="15" spans="1:8" x14ac:dyDescent="0.3">
      <c r="A15" t="s">
        <v>100</v>
      </c>
      <c r="B15" s="61">
        <v>500</v>
      </c>
      <c r="C15" s="61">
        <v>29613.96</v>
      </c>
      <c r="D15" s="61">
        <v>2000</v>
      </c>
      <c r="G15" s="66">
        <v>24000</v>
      </c>
      <c r="H15" s="54" t="s">
        <v>103</v>
      </c>
    </row>
    <row r="16" spans="1:8" x14ac:dyDescent="0.3">
      <c r="A16" t="s">
        <v>36</v>
      </c>
      <c r="B16" s="61">
        <v>2600</v>
      </c>
      <c r="C16" s="61">
        <v>3100</v>
      </c>
      <c r="D16" s="61">
        <v>3000</v>
      </c>
      <c r="G16" s="66">
        <v>85000</v>
      </c>
      <c r="H16" s="54" t="s">
        <v>104</v>
      </c>
    </row>
    <row r="17" spans="1:8" x14ac:dyDescent="0.3">
      <c r="A17" t="s">
        <v>37</v>
      </c>
      <c r="B17" s="61">
        <v>1200</v>
      </c>
      <c r="C17" s="61">
        <v>600</v>
      </c>
      <c r="D17" s="61">
        <v>4500</v>
      </c>
      <c r="G17" s="66">
        <v>19000</v>
      </c>
      <c r="H17" s="54" t="s">
        <v>105</v>
      </c>
    </row>
    <row r="18" spans="1:8" x14ac:dyDescent="0.3">
      <c r="A18" t="s">
        <v>38</v>
      </c>
      <c r="B18" s="61">
        <v>2400</v>
      </c>
      <c r="C18" s="61">
        <v>4300</v>
      </c>
      <c r="D18" s="61">
        <v>3500</v>
      </c>
      <c r="G18" s="68">
        <f>G15+G16+G17</f>
        <v>128000</v>
      </c>
      <c r="H18" s="54" t="s">
        <v>107</v>
      </c>
    </row>
    <row r="19" spans="1:8" x14ac:dyDescent="0.3">
      <c r="A19" t="s">
        <v>39</v>
      </c>
      <c r="B19" s="61">
        <v>350</v>
      </c>
      <c r="C19" s="61">
        <v>240</v>
      </c>
      <c r="D19" s="61">
        <v>300</v>
      </c>
      <c r="G19" s="68">
        <f>C36-G18</f>
        <v>129205.95999999999</v>
      </c>
      <c r="H19" s="54" t="s">
        <v>106</v>
      </c>
    </row>
    <row r="20" spans="1:8" x14ac:dyDescent="0.3">
      <c r="A20" t="s">
        <v>87</v>
      </c>
      <c r="B20" s="61">
        <v>1000</v>
      </c>
      <c r="C20" s="61">
        <v>1900</v>
      </c>
      <c r="D20" s="61">
        <v>0</v>
      </c>
    </row>
    <row r="21" spans="1:8" x14ac:dyDescent="0.3">
      <c r="A21" t="s">
        <v>40</v>
      </c>
      <c r="B21" s="61">
        <v>1500</v>
      </c>
      <c r="C21" s="61">
        <v>2500</v>
      </c>
      <c r="D21" s="61">
        <v>2500</v>
      </c>
    </row>
    <row r="22" spans="1:8" x14ac:dyDescent="0.3">
      <c r="A22" t="s">
        <v>41</v>
      </c>
      <c r="B22" s="61">
        <v>11500</v>
      </c>
      <c r="C22" s="61">
        <v>14000</v>
      </c>
      <c r="D22" s="61">
        <v>14000</v>
      </c>
    </row>
    <row r="23" spans="1:8" x14ac:dyDescent="0.3">
      <c r="A23" t="s">
        <v>88</v>
      </c>
      <c r="B23" s="61">
        <v>350</v>
      </c>
      <c r="C23" s="61">
        <v>350</v>
      </c>
      <c r="D23" s="61">
        <v>350</v>
      </c>
    </row>
    <row r="24" spans="1:8" x14ac:dyDescent="0.3">
      <c r="A24" t="s">
        <v>42</v>
      </c>
      <c r="B24" s="61">
        <v>8000</v>
      </c>
      <c r="C24" s="61">
        <v>8800</v>
      </c>
      <c r="D24" s="61">
        <v>9000</v>
      </c>
    </row>
    <row r="25" spans="1:8" x14ac:dyDescent="0.3">
      <c r="A25" t="s">
        <v>43</v>
      </c>
      <c r="B25" s="67">
        <v>30000</v>
      </c>
      <c r="C25" s="67">
        <v>50000</v>
      </c>
      <c r="D25" s="67">
        <v>55000</v>
      </c>
    </row>
    <row r="26" spans="1:8" x14ac:dyDescent="0.3">
      <c r="A26" t="s">
        <v>89</v>
      </c>
      <c r="B26" s="61">
        <v>600</v>
      </c>
      <c r="C26" s="61">
        <v>650</v>
      </c>
      <c r="D26" s="61">
        <v>700</v>
      </c>
    </row>
    <row r="27" spans="1:8" x14ac:dyDescent="0.3">
      <c r="A27" t="s">
        <v>44</v>
      </c>
      <c r="B27" s="61">
        <v>3700</v>
      </c>
      <c r="C27" s="61">
        <v>3600</v>
      </c>
      <c r="D27" s="61">
        <v>3600</v>
      </c>
    </row>
    <row r="28" spans="1:8" x14ac:dyDescent="0.3">
      <c r="A28" t="s">
        <v>45</v>
      </c>
      <c r="B28" s="61">
        <v>400</v>
      </c>
      <c r="C28" s="61">
        <v>0</v>
      </c>
      <c r="D28" s="61">
        <v>400</v>
      </c>
    </row>
    <row r="29" spans="1:8" x14ac:dyDescent="0.3">
      <c r="A29" t="s">
        <v>48</v>
      </c>
      <c r="B29" s="61">
        <v>232</v>
      </c>
      <c r="C29" s="61">
        <v>232</v>
      </c>
      <c r="D29" s="61">
        <v>232</v>
      </c>
    </row>
    <row r="30" spans="1:8" x14ac:dyDescent="0.3">
      <c r="A30" t="s">
        <v>49</v>
      </c>
      <c r="B30" s="61">
        <v>925</v>
      </c>
      <c r="C30" s="61">
        <v>1920</v>
      </c>
      <c r="D30" s="61">
        <v>3500</v>
      </c>
    </row>
    <row r="31" spans="1:8" x14ac:dyDescent="0.3">
      <c r="A31" t="s">
        <v>92</v>
      </c>
      <c r="B31" s="61">
        <v>3500</v>
      </c>
      <c r="C31" s="61">
        <v>24000</v>
      </c>
      <c r="D31" s="61">
        <v>2000</v>
      </c>
    </row>
    <row r="32" spans="1:8" x14ac:dyDescent="0.3">
      <c r="A32" t="s">
        <v>91</v>
      </c>
      <c r="B32" s="61">
        <v>725</v>
      </c>
      <c r="C32" s="61">
        <v>740</v>
      </c>
      <c r="D32" s="61">
        <v>750</v>
      </c>
    </row>
    <row r="33" spans="1:4" x14ac:dyDescent="0.3">
      <c r="A33" t="s">
        <v>90</v>
      </c>
      <c r="B33" s="61">
        <v>4200</v>
      </c>
      <c r="C33" s="61">
        <v>4200</v>
      </c>
      <c r="D33" s="61">
        <v>4560</v>
      </c>
    </row>
    <row r="34" spans="1:4" x14ac:dyDescent="0.3">
      <c r="A34" t="s">
        <v>51</v>
      </c>
      <c r="B34" s="61">
        <v>18000</v>
      </c>
      <c r="C34" s="61">
        <v>18200</v>
      </c>
      <c r="D34" s="61">
        <v>19000</v>
      </c>
    </row>
    <row r="35" spans="1:4" ht="15" thickBot="1" x14ac:dyDescent="0.35">
      <c r="A35" t="s">
        <v>111</v>
      </c>
      <c r="B35" s="65">
        <v>0</v>
      </c>
      <c r="C35" s="65">
        <v>0</v>
      </c>
      <c r="D35" s="65">
        <v>2000</v>
      </c>
    </row>
    <row r="36" spans="1:4" x14ac:dyDescent="0.3">
      <c r="A36" s="14" t="s">
        <v>54</v>
      </c>
      <c r="B36" s="64">
        <f>SUM(B10:B35)</f>
        <v>97632</v>
      </c>
      <c r="C36" s="64">
        <f>SUM(C10:C35)</f>
        <v>257205.96</v>
      </c>
      <c r="D36" s="64">
        <f>SUM(D10:D35)</f>
        <v>133342</v>
      </c>
    </row>
    <row r="37" spans="1:4" ht="16.2" x14ac:dyDescent="0.45">
      <c r="A37" t="s">
        <v>55</v>
      </c>
      <c r="B37" s="56"/>
      <c r="C37" s="62"/>
      <c r="D37" s="56"/>
    </row>
    <row r="38" spans="1:4" ht="16.2" x14ac:dyDescent="0.45">
      <c r="A38" s="14" t="s">
        <v>56</v>
      </c>
      <c r="B38" s="63">
        <f>B8</f>
        <v>99500</v>
      </c>
      <c r="C38" s="62">
        <f>C8</f>
        <v>98500.28</v>
      </c>
      <c r="D38" s="63">
        <f>D8</f>
        <v>133342</v>
      </c>
    </row>
    <row r="39" spans="1:4" x14ac:dyDescent="0.3">
      <c r="A39" t="s">
        <v>58</v>
      </c>
      <c r="B39" s="59">
        <f>B38-B36</f>
        <v>1868</v>
      </c>
      <c r="C39" s="60">
        <f>C38-C36</f>
        <v>-158705.68</v>
      </c>
      <c r="D39" s="59">
        <f>D38-D36</f>
        <v>0</v>
      </c>
    </row>
    <row r="40" spans="1:4" x14ac:dyDescent="0.3">
      <c r="B40" s="56"/>
      <c r="C40" s="59"/>
      <c r="D40" s="56"/>
    </row>
    <row r="41" spans="1:4" x14ac:dyDescent="0.3">
      <c r="B41" s="56"/>
      <c r="C41" s="56"/>
      <c r="D41" s="56"/>
    </row>
    <row r="42" spans="1:4" x14ac:dyDescent="0.3">
      <c r="A42" s="85" t="s">
        <v>0</v>
      </c>
      <c r="B42" s="86"/>
      <c r="C42" s="89" t="s">
        <v>1</v>
      </c>
      <c r="D42" s="77">
        <f>D5/12</f>
        <v>10820.166666666666</v>
      </c>
    </row>
    <row r="43" spans="1:4" x14ac:dyDescent="0.3">
      <c r="A43" s="87"/>
      <c r="B43" s="88"/>
      <c r="C43" s="90"/>
      <c r="D43" s="78"/>
    </row>
    <row r="44" spans="1:4" ht="26.4" x14ac:dyDescent="0.3">
      <c r="A44" s="69" t="s">
        <v>4</v>
      </c>
      <c r="B44" s="4" t="s">
        <v>11</v>
      </c>
      <c r="C44" s="5">
        <v>3.54</v>
      </c>
      <c r="D44" s="79">
        <f>D42*0.0354</f>
        <v>383.03389999999996</v>
      </c>
    </row>
    <row r="45" spans="1:4" ht="26.4" x14ac:dyDescent="0.3">
      <c r="A45" s="4" t="s">
        <v>5</v>
      </c>
      <c r="B45" s="4" t="s">
        <v>12</v>
      </c>
      <c r="C45" s="5">
        <v>4.5</v>
      </c>
      <c r="D45" s="79">
        <f>D42*0.045</f>
        <v>486.90749999999997</v>
      </c>
    </row>
    <row r="46" spans="1:4" ht="66" x14ac:dyDescent="0.3">
      <c r="A46" s="4" t="s">
        <v>6</v>
      </c>
      <c r="B46" s="4" t="s">
        <v>13</v>
      </c>
      <c r="C46" s="5">
        <v>3.45</v>
      </c>
      <c r="D46" s="79">
        <f>D42*0.0345</f>
        <v>373.29575</v>
      </c>
    </row>
  </sheetData>
  <mergeCells count="2">
    <mergeCell ref="A42:B43"/>
    <mergeCell ref="C42:C43"/>
  </mergeCells>
  <pageMargins left="0.7" right="0.7" top="0.75" bottom="0.75" header="0.3" footer="0.3"/>
  <pageSetup scale="90" orientation="portrait" horizontalDpi="300" verticalDpi="300" r:id="rId1"/>
  <headerFooter>
    <oddHeader>&amp;CArrowwood Condonminum Association, Inc
Budget 2024
January 1, 2024 to December 31, 2024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F89A-14AF-4931-864E-ABE767EB8C06}">
  <dimension ref="A1:M24"/>
  <sheetViews>
    <sheetView view="pageBreakPreview" zoomScale="60" zoomScaleNormal="107" workbookViewId="0">
      <selection activeCell="J15" sqref="J15"/>
    </sheetView>
  </sheetViews>
  <sheetFormatPr defaultColWidth="8.21875" defaultRowHeight="14.4" x14ac:dyDescent="0.3"/>
  <cols>
    <col min="1" max="1" width="15.44140625" bestFit="1" customWidth="1"/>
    <col min="2" max="2" width="10.21875" bestFit="1" customWidth="1"/>
    <col min="3" max="3" width="12.21875" bestFit="1" customWidth="1"/>
    <col min="4" max="4" width="14.44140625" bestFit="1" customWidth="1"/>
    <col min="5" max="5" width="11.77734375" bestFit="1" customWidth="1"/>
    <col min="6" max="6" width="12.77734375" customWidth="1"/>
    <col min="7" max="7" width="12.5546875" bestFit="1" customWidth="1"/>
    <col min="8" max="8" width="16.44140625" bestFit="1" customWidth="1"/>
    <col min="9" max="9" width="19" customWidth="1"/>
    <col min="12" max="12" width="20.44140625" customWidth="1"/>
  </cols>
  <sheetData>
    <row r="1" spans="1:13" ht="22.8" x14ac:dyDescent="0.4">
      <c r="A1" s="98" t="s">
        <v>112</v>
      </c>
      <c r="B1" s="98"/>
      <c r="C1" s="98"/>
      <c r="D1" s="98"/>
      <c r="E1" s="98"/>
      <c r="F1" s="98"/>
      <c r="G1" s="98"/>
      <c r="H1" s="98"/>
    </row>
    <row r="2" spans="1:13" ht="15" thickBot="1" x14ac:dyDescent="0.35"/>
    <row r="3" spans="1:13" ht="15.6" x14ac:dyDescent="0.3">
      <c r="A3" s="30" t="s">
        <v>59</v>
      </c>
      <c r="B3" s="31" t="s">
        <v>60</v>
      </c>
      <c r="C3" s="31" t="s">
        <v>60</v>
      </c>
      <c r="D3" s="31" t="s">
        <v>61</v>
      </c>
      <c r="E3" s="32" t="s">
        <v>62</v>
      </c>
      <c r="F3" s="31" t="s">
        <v>63</v>
      </c>
      <c r="G3" s="31" t="s">
        <v>64</v>
      </c>
      <c r="H3" s="33" t="s">
        <v>65</v>
      </c>
      <c r="I3" s="33" t="s">
        <v>65</v>
      </c>
      <c r="L3" s="34"/>
      <c r="M3" s="35"/>
    </row>
    <row r="4" spans="1:13" ht="15.6" x14ac:dyDescent="0.3">
      <c r="A4" s="36"/>
      <c r="B4" s="37" t="s">
        <v>66</v>
      </c>
      <c r="C4" s="37" t="s">
        <v>67</v>
      </c>
      <c r="D4" s="37" t="s">
        <v>68</v>
      </c>
      <c r="E4" s="38" t="s">
        <v>69</v>
      </c>
      <c r="F4" s="37" t="s">
        <v>70</v>
      </c>
      <c r="G4" s="37" t="s">
        <v>65</v>
      </c>
      <c r="H4" s="39" t="s">
        <v>109</v>
      </c>
      <c r="I4" s="39" t="s">
        <v>110</v>
      </c>
      <c r="L4" s="34"/>
      <c r="M4" s="35"/>
    </row>
    <row r="5" spans="1:13" ht="15.6" x14ac:dyDescent="0.3">
      <c r="A5" s="36"/>
      <c r="B5" s="37"/>
      <c r="C5" s="37"/>
      <c r="D5" s="37"/>
      <c r="E5" s="38" t="s">
        <v>71</v>
      </c>
      <c r="F5" s="40">
        <v>45657</v>
      </c>
      <c r="G5" s="37" t="s">
        <v>72</v>
      </c>
      <c r="H5" s="39" t="s">
        <v>73</v>
      </c>
      <c r="I5" s="39" t="s">
        <v>74</v>
      </c>
      <c r="L5" s="34"/>
      <c r="M5" s="35"/>
    </row>
    <row r="6" spans="1:13" ht="15.6" x14ac:dyDescent="0.3">
      <c r="A6" s="41" t="s">
        <v>75</v>
      </c>
      <c r="B6" s="42">
        <v>20</v>
      </c>
      <c r="C6" s="43">
        <v>85000</v>
      </c>
      <c r="D6" s="42">
        <v>19</v>
      </c>
      <c r="E6" s="44">
        <v>0.2</v>
      </c>
      <c r="F6" s="45">
        <f>SUM(E6*F11)</f>
        <v>2710</v>
      </c>
      <c r="G6" s="45">
        <f>SUM(C6-F6)</f>
        <v>82290</v>
      </c>
      <c r="H6" s="74">
        <f>SUM(C6/D6)</f>
        <v>4473.6842105263158</v>
      </c>
      <c r="I6" s="75">
        <f>SUM(H6*0.4)</f>
        <v>1789.4736842105265</v>
      </c>
      <c r="L6" s="34"/>
      <c r="M6" s="35"/>
    </row>
    <row r="7" spans="1:13" ht="15.6" x14ac:dyDescent="0.3">
      <c r="A7" s="41" t="s">
        <v>76</v>
      </c>
      <c r="B7" s="42">
        <v>50</v>
      </c>
      <c r="C7" s="45">
        <v>80000</v>
      </c>
      <c r="D7" s="42">
        <v>5</v>
      </c>
      <c r="E7" s="44">
        <v>0.2</v>
      </c>
      <c r="F7" s="45">
        <v>2710</v>
      </c>
      <c r="G7" s="45">
        <f t="shared" ref="G7:G9" si="0">SUM(C7-F7)</f>
        <v>77290</v>
      </c>
      <c r="H7" s="74">
        <f t="shared" ref="H7" si="1">SUM(C7/D7)</f>
        <v>16000</v>
      </c>
      <c r="I7" s="75">
        <f>SUM(H7*0.4)</f>
        <v>6400</v>
      </c>
      <c r="L7" s="34" t="s">
        <v>98</v>
      </c>
      <c r="M7" s="35"/>
    </row>
    <row r="8" spans="1:13" ht="15.6" x14ac:dyDescent="0.3">
      <c r="A8" s="41" t="s">
        <v>97</v>
      </c>
      <c r="B8" s="42">
        <v>20</v>
      </c>
      <c r="C8" s="45">
        <v>60000</v>
      </c>
      <c r="D8" s="42">
        <v>19</v>
      </c>
      <c r="E8" s="44">
        <v>0.2</v>
      </c>
      <c r="F8" s="45">
        <v>2710</v>
      </c>
      <c r="G8" s="45">
        <f t="shared" si="0"/>
        <v>57290</v>
      </c>
      <c r="H8" s="74">
        <f>SUM(G8/D8)</f>
        <v>3015.2631578947367</v>
      </c>
      <c r="I8" s="75">
        <f>SUM(H8*0.4)</f>
        <v>1206.1052631578948</v>
      </c>
      <c r="L8" s="34"/>
      <c r="M8" s="35"/>
    </row>
    <row r="9" spans="1:13" ht="15.6" x14ac:dyDescent="0.3">
      <c r="A9" s="41" t="s">
        <v>77</v>
      </c>
      <c r="B9" s="42">
        <v>12</v>
      </c>
      <c r="C9" s="45">
        <v>10000</v>
      </c>
      <c r="D9" s="42">
        <v>2</v>
      </c>
      <c r="E9" s="44">
        <v>0.2</v>
      </c>
      <c r="F9" s="45">
        <v>2710</v>
      </c>
      <c r="G9" s="45">
        <f t="shared" si="0"/>
        <v>7290</v>
      </c>
      <c r="H9" s="74">
        <f>SUM(G9/D9)</f>
        <v>3645</v>
      </c>
      <c r="I9" s="74">
        <f>SUM(H9*0.4)</f>
        <v>1458</v>
      </c>
      <c r="L9" s="34"/>
      <c r="M9" s="35"/>
    </row>
    <row r="10" spans="1:13" x14ac:dyDescent="0.3">
      <c r="A10" s="41" t="s">
        <v>78</v>
      </c>
      <c r="B10" s="42">
        <v>8</v>
      </c>
      <c r="C10" s="45">
        <v>45000</v>
      </c>
      <c r="D10" s="42">
        <v>8</v>
      </c>
      <c r="E10" s="44">
        <v>0.2</v>
      </c>
      <c r="F10" s="45">
        <v>2710</v>
      </c>
      <c r="G10" s="45">
        <v>45000</v>
      </c>
      <c r="H10" s="74">
        <f>SUM(G10/D10)</f>
        <v>5625</v>
      </c>
      <c r="I10" s="74">
        <f>SUM(H10*0.4)</f>
        <v>2250</v>
      </c>
    </row>
    <row r="11" spans="1:13" ht="15" thickBot="1" x14ac:dyDescent="0.35">
      <c r="A11" s="46" t="s">
        <v>79</v>
      </c>
      <c r="B11" s="47"/>
      <c r="C11" s="48">
        <f>SUM(C6:C10)</f>
        <v>280000</v>
      </c>
      <c r="D11" s="47"/>
      <c r="E11" s="70">
        <f>SUM(E6:E10)</f>
        <v>1</v>
      </c>
      <c r="F11" s="48">
        <v>13550</v>
      </c>
      <c r="G11" s="48">
        <f>SUM(G6:G10)</f>
        <v>269160</v>
      </c>
      <c r="H11" s="76">
        <f>SUM(H6:H10)</f>
        <v>32758.947368421053</v>
      </c>
      <c r="I11" s="76">
        <f>SUM(I6:I10)</f>
        <v>13103.578947368422</v>
      </c>
    </row>
    <row r="12" spans="1:13" ht="15" thickBot="1" x14ac:dyDescent="0.35">
      <c r="I12" s="9">
        <f>I11/12</f>
        <v>1091.9649122807018</v>
      </c>
    </row>
    <row r="13" spans="1:13" x14ac:dyDescent="0.3">
      <c r="A13" s="99" t="s">
        <v>80</v>
      </c>
      <c r="B13" s="100"/>
      <c r="C13" s="101"/>
      <c r="D13" s="102" t="s">
        <v>81</v>
      </c>
      <c r="E13" s="102"/>
      <c r="F13" s="102"/>
      <c r="G13" s="102"/>
      <c r="H13" s="102"/>
      <c r="I13" s="102"/>
    </row>
    <row r="14" spans="1:13" ht="27" customHeight="1" x14ac:dyDescent="0.3">
      <c r="A14" s="36"/>
      <c r="B14" s="103" t="s">
        <v>82</v>
      </c>
      <c r="C14" s="104"/>
      <c r="D14" s="105"/>
      <c r="E14" s="106" t="s">
        <v>83</v>
      </c>
      <c r="F14" s="106"/>
      <c r="G14" s="49" t="s">
        <v>84</v>
      </c>
      <c r="H14" s="81" t="s">
        <v>74</v>
      </c>
      <c r="I14" s="82" t="s">
        <v>85</v>
      </c>
    </row>
    <row r="15" spans="1:13" x14ac:dyDescent="0.3">
      <c r="A15" s="71" t="s">
        <v>4</v>
      </c>
      <c r="B15" s="107">
        <f>'2024'!D44</f>
        <v>383.03389999999996</v>
      </c>
      <c r="C15" s="108"/>
      <c r="D15" s="109"/>
      <c r="E15" s="110">
        <f>H11*0.0354/12</f>
        <v>96.638894736842119</v>
      </c>
      <c r="F15" s="110"/>
      <c r="G15" s="73">
        <f>SUM(B15+E15)</f>
        <v>479.67279473684209</v>
      </c>
      <c r="H15" s="80">
        <f>I11*0.0354/12</f>
        <v>38.655557894736845</v>
      </c>
      <c r="I15" s="83">
        <f>SUM(H15+B15)</f>
        <v>421.68945789473679</v>
      </c>
      <c r="J15">
        <v>356.89690000000002</v>
      </c>
    </row>
    <row r="16" spans="1:13" x14ac:dyDescent="0.3">
      <c r="A16" s="72" t="s">
        <v>5</v>
      </c>
      <c r="B16" s="107">
        <f>'2024'!D45</f>
        <v>486.90749999999997</v>
      </c>
      <c r="C16" s="108"/>
      <c r="D16" s="109"/>
      <c r="E16" s="107">
        <f>H11*0.045/12</f>
        <v>122.84605263157896</v>
      </c>
      <c r="F16" s="109"/>
      <c r="G16" s="73">
        <f>SUM(B16+E16)</f>
        <v>609.75355263157894</v>
      </c>
      <c r="H16" s="80">
        <f>I11*0.045/12</f>
        <v>49.138421052631578</v>
      </c>
      <c r="I16" s="83">
        <f>SUM(H16+B16)</f>
        <v>536.04592105263157</v>
      </c>
      <c r="J16">
        <v>453.68249999999995</v>
      </c>
    </row>
    <row r="17" spans="1:10" ht="15" thickBot="1" x14ac:dyDescent="0.35">
      <c r="A17" s="72" t="s">
        <v>6</v>
      </c>
      <c r="B17" s="107">
        <f>'2024'!D46</f>
        <v>373.29575</v>
      </c>
      <c r="C17" s="108"/>
      <c r="D17" s="109"/>
      <c r="E17" s="110">
        <f>H11*0.0345/12</f>
        <v>94.181973684210547</v>
      </c>
      <c r="F17" s="110"/>
      <c r="G17" s="73">
        <f>SUM(B17+E17)</f>
        <v>467.47772368421056</v>
      </c>
      <c r="H17" s="80">
        <f>I11*0.0345/12</f>
        <v>37.672789473684212</v>
      </c>
      <c r="I17" s="83">
        <f>SUM(H17+B17)</f>
        <v>410.96853947368419</v>
      </c>
      <c r="J17">
        <v>347.82325000000003</v>
      </c>
    </row>
    <row r="18" spans="1:10" x14ac:dyDescent="0.3">
      <c r="A18" s="92" t="s">
        <v>86</v>
      </c>
      <c r="B18" s="93"/>
      <c r="C18" s="93"/>
      <c r="D18" s="93"/>
      <c r="E18" s="93"/>
      <c r="F18" s="93"/>
      <c r="G18" s="93"/>
      <c r="H18" s="93"/>
      <c r="I18" s="94"/>
    </row>
    <row r="19" spans="1:10" ht="15" thickBot="1" x14ac:dyDescent="0.35">
      <c r="A19" s="95"/>
      <c r="B19" s="96"/>
      <c r="C19" s="96"/>
      <c r="D19" s="96"/>
      <c r="E19" s="96"/>
      <c r="F19" s="96"/>
      <c r="G19" s="96"/>
      <c r="H19" s="96"/>
      <c r="I19" s="97"/>
    </row>
    <row r="22" spans="1:10" ht="39.6" x14ac:dyDescent="0.3">
      <c r="A22" s="3" t="s">
        <v>4</v>
      </c>
      <c r="B22" s="4" t="s">
        <v>11</v>
      </c>
      <c r="C22" s="5">
        <v>3.54</v>
      </c>
      <c r="D22" s="6">
        <v>347.1</v>
      </c>
    </row>
    <row r="23" spans="1:10" ht="39.6" x14ac:dyDescent="0.3">
      <c r="A23" s="4" t="s">
        <v>5</v>
      </c>
      <c r="B23" s="4" t="s">
        <v>12</v>
      </c>
      <c r="C23" s="5">
        <v>4.5</v>
      </c>
      <c r="D23" s="6">
        <v>441.23</v>
      </c>
    </row>
    <row r="24" spans="1:10" ht="105.6" x14ac:dyDescent="0.3">
      <c r="A24" s="4" t="s">
        <v>6</v>
      </c>
      <c r="B24" s="4" t="s">
        <v>13</v>
      </c>
      <c r="C24" s="5">
        <v>3.45</v>
      </c>
      <c r="D24" s="6">
        <v>338.28</v>
      </c>
    </row>
  </sheetData>
  <mergeCells count="12">
    <mergeCell ref="A18:I19"/>
    <mergeCell ref="A1:H1"/>
    <mergeCell ref="A13:C13"/>
    <mergeCell ref="D13:I13"/>
    <mergeCell ref="B14:D14"/>
    <mergeCell ref="E14:F14"/>
    <mergeCell ref="B15:D15"/>
    <mergeCell ref="E15:F15"/>
    <mergeCell ref="E16:F16"/>
    <mergeCell ref="E17:F17"/>
    <mergeCell ref="B16:D16"/>
    <mergeCell ref="B17:D17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emg assessment 2022</vt:lpstr>
      <vt:lpstr>bank loan 2022</vt:lpstr>
      <vt:lpstr>2021</vt:lpstr>
      <vt:lpstr>1</vt:lpstr>
      <vt:lpstr>2022</vt:lpstr>
      <vt:lpstr>2023</vt:lpstr>
      <vt:lpstr>2024</vt:lpstr>
      <vt:lpstr>reserves</vt:lpstr>
      <vt:lpstr>'2024'!Print_Area</vt:lpstr>
      <vt:lpstr>reserves!Print_Area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fantasy poker</dc:creator>
  <cp:lastModifiedBy>jamie blum</cp:lastModifiedBy>
  <cp:lastPrinted>2023-11-22T21:26:28Z</cp:lastPrinted>
  <dcterms:created xsi:type="dcterms:W3CDTF">2022-06-04T15:39:09Z</dcterms:created>
  <dcterms:modified xsi:type="dcterms:W3CDTF">2024-10-11T14:05:11Z</dcterms:modified>
</cp:coreProperties>
</file>