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40FD2DA8-7BE5-4DB7-96E4-8674BFD941AC}" xr6:coauthVersionLast="47" xr6:coauthVersionMax="47" xr10:uidLastSave="{00000000-0000-0000-0000-000000000000}"/>
  <bookViews>
    <workbookView xWindow="-108" yWindow="-108" windowWidth="23256" windowHeight="13896" firstSheet="12" activeTab="13" xr2:uid="{00000000-000D-0000-FFFF-FFFF00000000}"/>
  </bookViews>
  <sheets>
    <sheet name="budget 2018" sheetId="5" r:id="rId1"/>
    <sheet name="reserves 2018" sheetId="6" r:id="rId2"/>
    <sheet name="budget 2019" sheetId="7" r:id="rId3"/>
    <sheet name="reserves 2019" sheetId="8" r:id="rId4"/>
    <sheet name="budget 2020" sheetId="9" r:id="rId5"/>
    <sheet name="reserves 2020" sheetId="10" r:id="rId6"/>
    <sheet name="budget 2021" sheetId="11" r:id="rId7"/>
    <sheet name="reserves 2021" sheetId="12" r:id="rId8"/>
    <sheet name="budget 2022" sheetId="13" r:id="rId9"/>
    <sheet name="reserves 2022" sheetId="14" r:id="rId10"/>
    <sheet name="proposed budget 2023" sheetId="15" r:id="rId11"/>
    <sheet name="proposed reserves 2023" sheetId="16" r:id="rId12"/>
    <sheet name="proposed budget 2024" sheetId="17" r:id="rId13"/>
    <sheet name="proposed reserves 2024" sheetId="18" r:id="rId14"/>
  </sheets>
  <definedNames>
    <definedName name="_xlnm.Print_Area" localSheetId="0">'budget 2018'!$A$1:$D$40</definedName>
    <definedName name="_xlnm.Print_Area" localSheetId="2">'budget 2019'!$A$1:$E$42</definedName>
    <definedName name="_xlnm.Print_Area" localSheetId="4">'budget 2020'!$A$1:$D$44</definedName>
    <definedName name="_xlnm.Print_Area" localSheetId="6">'budget 2021'!$A$1:$D$46</definedName>
    <definedName name="_xlnm.Print_Area" localSheetId="8">'budget 2022'!$A$1:$D$48</definedName>
    <definedName name="_xlnm.Print_Area" localSheetId="10">'proposed budget 2023'!$A$1:$D$46</definedName>
    <definedName name="_xlnm.Print_Area" localSheetId="12">'proposed budget 2024'!$A$1:$D$46</definedName>
    <definedName name="_xlnm.Print_Area" localSheetId="13">'proposed reserves 2024'!$A$1:$I$17</definedName>
    <definedName name="_xlnm.Print_Titles" localSheetId="0">'budget 2018'!$1:$2</definedName>
    <definedName name="_xlnm.Print_Titles" localSheetId="2">'budget 2019'!$1:$2</definedName>
    <definedName name="_xlnm.Print_Titles" localSheetId="4">'budget 2020'!$1:$2</definedName>
    <definedName name="_xlnm.Print_Titles" localSheetId="6">'budget 2021'!$1:$2</definedName>
    <definedName name="_xlnm.Print_Titles" localSheetId="8">'budget 2022'!$1:$2</definedName>
    <definedName name="_xlnm.Print_Titles" localSheetId="10">'proposed budget 2023'!$1:$2</definedName>
    <definedName name="_xlnm.Print_Titles" localSheetId="12">'proposed budget 2024'!$1:$2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8" l="1"/>
  <c r="C17" i="17"/>
  <c r="C20" i="17" s="1"/>
  <c r="E14" i="17"/>
  <c r="B5" i="17"/>
  <c r="B40" i="17"/>
  <c r="B41" i="17" s="1"/>
  <c r="B33" i="17"/>
  <c r="B27" i="17"/>
  <c r="B20" i="17"/>
  <c r="F10" i="18"/>
  <c r="E10" i="18"/>
  <c r="C10" i="18"/>
  <c r="H9" i="18"/>
  <c r="I9" i="18" s="1"/>
  <c r="G9" i="18"/>
  <c r="H8" i="18"/>
  <c r="I8" i="18" s="1"/>
  <c r="G8" i="18"/>
  <c r="H7" i="18"/>
  <c r="I7" i="18" s="1"/>
  <c r="G7" i="18"/>
  <c r="H6" i="18"/>
  <c r="I6" i="18" s="1"/>
  <c r="G6" i="18"/>
  <c r="G10" i="18" s="1"/>
  <c r="D40" i="17"/>
  <c r="D33" i="17"/>
  <c r="D27" i="17"/>
  <c r="D20" i="17"/>
  <c r="C10" i="17"/>
  <c r="D42" i="15"/>
  <c r="D45" i="15"/>
  <c r="C45" i="15"/>
  <c r="K10" i="16"/>
  <c r="I6" i="16"/>
  <c r="I7" i="16"/>
  <c r="I8" i="16"/>
  <c r="I9" i="16"/>
  <c r="C35" i="15"/>
  <c r="C20" i="15"/>
  <c r="D20" i="15"/>
  <c r="C10" i="15"/>
  <c r="B40" i="15"/>
  <c r="B33" i="15"/>
  <c r="B27" i="15"/>
  <c r="B20" i="15"/>
  <c r="B5" i="15"/>
  <c r="B10" i="15" s="1"/>
  <c r="F10" i="16"/>
  <c r="E10" i="16"/>
  <c r="C10" i="16"/>
  <c r="H9" i="16"/>
  <c r="G9" i="16"/>
  <c r="H8" i="16"/>
  <c r="G8" i="16"/>
  <c r="H7" i="16"/>
  <c r="G7" i="16"/>
  <c r="H6" i="16"/>
  <c r="G6" i="16"/>
  <c r="D40" i="15"/>
  <c r="D33" i="15"/>
  <c r="D27" i="15"/>
  <c r="D43" i="13"/>
  <c r="D11" i="13"/>
  <c r="D21" i="13"/>
  <c r="D28" i="13"/>
  <c r="D34" i="13"/>
  <c r="D42" i="13"/>
  <c r="D5" i="13"/>
  <c r="B13" i="13"/>
  <c r="B6" i="13"/>
  <c r="B5" i="13"/>
  <c r="H6" i="14"/>
  <c r="I6" i="14"/>
  <c r="H7" i="14"/>
  <c r="I7" i="14"/>
  <c r="H8" i="14"/>
  <c r="I8" i="14"/>
  <c r="H9" i="14"/>
  <c r="I9" i="14"/>
  <c r="I10" i="14"/>
  <c r="H14" i="14"/>
  <c r="I14" i="14"/>
  <c r="H10" i="14"/>
  <c r="E14" i="14"/>
  <c r="G14" i="14"/>
  <c r="G6" i="14"/>
  <c r="G7" i="14"/>
  <c r="G8" i="14"/>
  <c r="G9" i="14"/>
  <c r="G10" i="14"/>
  <c r="F10" i="14"/>
  <c r="E10" i="14"/>
  <c r="C10" i="14"/>
  <c r="C42" i="13"/>
  <c r="C34" i="13"/>
  <c r="C28" i="13"/>
  <c r="C21" i="13"/>
  <c r="B42" i="13"/>
  <c r="B34" i="13"/>
  <c r="B28" i="13"/>
  <c r="B21" i="13"/>
  <c r="B43" i="13"/>
  <c r="C11" i="13"/>
  <c r="B11" i="13"/>
  <c r="D5" i="11"/>
  <c r="D40" i="11"/>
  <c r="D32" i="11"/>
  <c r="D26" i="11"/>
  <c r="D19" i="11"/>
  <c r="C5" i="11"/>
  <c r="C38" i="11"/>
  <c r="C40" i="11"/>
  <c r="C28" i="11"/>
  <c r="B38" i="11"/>
  <c r="B40" i="11"/>
  <c r="B12" i="11"/>
  <c r="B19" i="11"/>
  <c r="B32" i="11"/>
  <c r="B26" i="11"/>
  <c r="B41" i="11"/>
  <c r="B6" i="11"/>
  <c r="B5" i="11"/>
  <c r="B10" i="11"/>
  <c r="F10" i="12"/>
  <c r="E10" i="12"/>
  <c r="C10" i="12"/>
  <c r="H9" i="12"/>
  <c r="I9" i="12"/>
  <c r="G9" i="12"/>
  <c r="H8" i="12"/>
  <c r="I8" i="12"/>
  <c r="G8" i="12"/>
  <c r="H7" i="12"/>
  <c r="I7" i="12"/>
  <c r="G7" i="12"/>
  <c r="H6" i="12"/>
  <c r="I6" i="12"/>
  <c r="G6" i="12"/>
  <c r="D12" i="11"/>
  <c r="D41" i="11"/>
  <c r="C32" i="11"/>
  <c r="C19" i="11"/>
  <c r="D6" i="11"/>
  <c r="D10" i="11"/>
  <c r="C10" i="11"/>
  <c r="C26" i="11"/>
  <c r="C41" i="11"/>
  <c r="H10" i="12"/>
  <c r="E14" i="12"/>
  <c r="G10" i="12"/>
  <c r="I10" i="12"/>
  <c r="H14" i="12"/>
  <c r="I14" i="12"/>
  <c r="G14" i="12"/>
  <c r="H6" i="10"/>
  <c r="I6" i="10"/>
  <c r="H7" i="10"/>
  <c r="I7" i="10"/>
  <c r="H8" i="10"/>
  <c r="I8" i="10"/>
  <c r="H9" i="10"/>
  <c r="I9" i="10"/>
  <c r="I10" i="10"/>
  <c r="H14" i="10"/>
  <c r="H10" i="10"/>
  <c r="E14" i="10"/>
  <c r="B14" i="10"/>
  <c r="D5" i="9"/>
  <c r="D6" i="9"/>
  <c r="D36" i="9"/>
  <c r="C36" i="9"/>
  <c r="D38" i="9"/>
  <c r="C22" i="9"/>
  <c r="C20" i="9"/>
  <c r="C21" i="9"/>
  <c r="C5" i="9"/>
  <c r="B38" i="9"/>
  <c r="B30" i="9"/>
  <c r="B20" i="9"/>
  <c r="B25" i="9"/>
  <c r="B11" i="9"/>
  <c r="B18" i="9"/>
  <c r="B5" i="9"/>
  <c r="B9" i="9"/>
  <c r="B5" i="7"/>
  <c r="B8" i="7"/>
  <c r="B10" i="7"/>
  <c r="B18" i="7"/>
  <c r="B20" i="7"/>
  <c r="B25" i="7"/>
  <c r="B30" i="7"/>
  <c r="B36" i="7"/>
  <c r="F10" i="10"/>
  <c r="E10" i="10"/>
  <c r="C10" i="10"/>
  <c r="G9" i="10"/>
  <c r="G8" i="10"/>
  <c r="G7" i="10"/>
  <c r="I14" i="10"/>
  <c r="G14" i="10"/>
  <c r="G6" i="10"/>
  <c r="G10" i="10"/>
  <c r="C38" i="9"/>
  <c r="D30" i="9"/>
  <c r="C30" i="9"/>
  <c r="C25" i="9"/>
  <c r="D25" i="9"/>
  <c r="C18" i="9"/>
  <c r="D11" i="9"/>
  <c r="D18" i="9"/>
  <c r="D9" i="9"/>
  <c r="C9" i="9"/>
  <c r="C39" i="9"/>
  <c r="B39" i="9"/>
  <c r="B37" i="7"/>
  <c r="D39" i="9"/>
  <c r="H6" i="8"/>
  <c r="H7" i="8"/>
  <c r="H8" i="8"/>
  <c r="H9" i="8"/>
  <c r="H10" i="8"/>
  <c r="E14" i="8"/>
  <c r="F10" i="8"/>
  <c r="E10" i="8"/>
  <c r="C10" i="8"/>
  <c r="I9" i="8"/>
  <c r="G9" i="8"/>
  <c r="I8" i="8"/>
  <c r="G8" i="8"/>
  <c r="I7" i="8"/>
  <c r="G7" i="8"/>
  <c r="I6" i="8"/>
  <c r="G6" i="8"/>
  <c r="D20" i="7"/>
  <c r="C32" i="7"/>
  <c r="C36" i="7"/>
  <c r="C30" i="7"/>
  <c r="C22" i="7"/>
  <c r="C25" i="7"/>
  <c r="C18" i="7"/>
  <c r="C8" i="7"/>
  <c r="D35" i="7"/>
  <c r="D36" i="7"/>
  <c r="D30" i="7"/>
  <c r="D25" i="7"/>
  <c r="D10" i="7"/>
  <c r="D18" i="7"/>
  <c r="D5" i="7"/>
  <c r="D8" i="7"/>
  <c r="C5" i="5"/>
  <c r="C37" i="7"/>
  <c r="I10" i="8"/>
  <c r="H14" i="8"/>
  <c r="I14" i="8"/>
  <c r="G10" i="8"/>
  <c r="G14" i="8"/>
  <c r="D37" i="7"/>
  <c r="C20" i="5"/>
  <c r="C10" i="5"/>
  <c r="B5" i="5"/>
  <c r="B8" i="5"/>
  <c r="C35" i="5"/>
  <c r="B35" i="5"/>
  <c r="B18" i="5"/>
  <c r="F10" i="6"/>
  <c r="E10" i="6"/>
  <c r="C10" i="6"/>
  <c r="I9" i="6"/>
  <c r="H9" i="6"/>
  <c r="G9" i="6"/>
  <c r="I8" i="6"/>
  <c r="H8" i="6"/>
  <c r="G8" i="6"/>
  <c r="I7" i="6"/>
  <c r="H7" i="6"/>
  <c r="G7" i="6"/>
  <c r="I6" i="6"/>
  <c r="H6" i="6"/>
  <c r="G6" i="6"/>
  <c r="C30" i="5"/>
  <c r="B30" i="5"/>
  <c r="C25" i="5"/>
  <c r="B25" i="5"/>
  <c r="C18" i="5"/>
  <c r="C8" i="5"/>
  <c r="I10" i="6"/>
  <c r="H14" i="6"/>
  <c r="I14" i="6"/>
  <c r="B36" i="5"/>
  <c r="H10" i="6"/>
  <c r="E14" i="6"/>
  <c r="G14" i="6"/>
  <c r="G10" i="6"/>
  <c r="C36" i="5"/>
  <c r="I10" i="18" l="1"/>
  <c r="D41" i="17"/>
  <c r="B10" i="17"/>
  <c r="H14" i="18"/>
  <c r="I14" i="18" s="1"/>
  <c r="K10" i="18"/>
  <c r="H10" i="18"/>
  <c r="E14" i="18" s="1"/>
  <c r="G14" i="18" s="1"/>
  <c r="G10" i="16"/>
  <c r="B41" i="15"/>
  <c r="H10" i="16"/>
  <c r="E14" i="16" s="1"/>
  <c r="G14" i="16" s="1"/>
  <c r="I10" i="16"/>
  <c r="H14" i="16" s="1"/>
  <c r="I14" i="16" s="1"/>
  <c r="D41" i="15"/>
  <c r="D5" i="15" s="1"/>
  <c r="C43" i="13"/>
  <c r="E6" i="17" l="1"/>
  <c r="D5" i="17" s="1"/>
  <c r="D10" i="17" s="1"/>
  <c r="D10" i="15"/>
  <c r="C43" i="15"/>
</calcChain>
</file>

<file path=xl/sharedStrings.xml><?xml version="1.0" encoding="utf-8"?>
<sst xmlns="http://schemas.openxmlformats.org/spreadsheetml/2006/main" count="578" uniqueCount="119">
  <si>
    <t>UTILITIES:</t>
  </si>
  <si>
    <t>Electricity</t>
  </si>
  <si>
    <t>Water &amp; Sewer</t>
  </si>
  <si>
    <t>Telephone</t>
  </si>
  <si>
    <t>Janitorial Services</t>
  </si>
  <si>
    <t>Management Fees</t>
  </si>
  <si>
    <t>Insurance</t>
  </si>
  <si>
    <t>TOTAL EXPENSES</t>
  </si>
  <si>
    <t>ADOPTED</t>
  </si>
  <si>
    <t>BUDGET</t>
  </si>
  <si>
    <t>REVENUE</t>
  </si>
  <si>
    <t>Maintenance Assess Income</t>
  </si>
  <si>
    <t>Late Fee Income</t>
  </si>
  <si>
    <t>Laundry Income</t>
  </si>
  <si>
    <t>TOTAL REVENUE</t>
  </si>
  <si>
    <t>GEN. &amp; ADMIN. EXPENSES:</t>
  </si>
  <si>
    <t>Accounting Fees</t>
  </si>
  <si>
    <t>Legal Fees</t>
  </si>
  <si>
    <t>Licences/Fees/Permits</t>
  </si>
  <si>
    <t>Bank Charges/Interests</t>
  </si>
  <si>
    <t>Administrative/Office Expense</t>
  </si>
  <si>
    <t>CONTRACTS:</t>
  </si>
  <si>
    <t>Lawn Maintenance</t>
  </si>
  <si>
    <t>Elevator Contract</t>
  </si>
  <si>
    <t>TOTAL CONTRACT EXPENSES</t>
  </si>
  <si>
    <t>TOTAL UTILITES EXPENSES</t>
  </si>
  <si>
    <t>TOTAL GEN. &amp; ADMIN. EXPENSES</t>
  </si>
  <si>
    <t>MAINTENANCE</t>
  </si>
  <si>
    <t>Fire Equipment &amp; Inspection</t>
  </si>
  <si>
    <t>Repairs &amp; Maintenance</t>
  </si>
  <si>
    <t>TOTAL MAINTENANCE EXPENSES</t>
  </si>
  <si>
    <t>Elevator</t>
  </si>
  <si>
    <t>Proposed</t>
  </si>
  <si>
    <t>Estimated</t>
  </si>
  <si>
    <t>Item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</si>
  <si>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</si>
  <si>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</si>
  <si>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</si>
  <si>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</si>
  <si>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</si>
  <si>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</si>
  <si>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</si>
  <si>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</si>
  <si>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</si>
  <si>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</si>
  <si>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</si>
  <si>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</si>
  <si>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</si>
  <si>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</si>
  <si>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</si>
  <si>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Parking lot</t>
  </si>
  <si>
    <t>Paint</t>
  </si>
  <si>
    <t>Total</t>
  </si>
  <si>
    <t>Maintenance Fee Without Reserve</t>
  </si>
  <si>
    <t>Maintenance Fee With Reserve</t>
  </si>
  <si>
    <t>Partial with Maint.</t>
  </si>
  <si>
    <t>*The Florida Statues require the Board of Directors to adopt a budget with full reserves.  The unit owners at a duly called meeting, may vote against the funding of full reserves or may opt to vot for reserves "less than adequate". (Partial Reserves)</t>
  </si>
  <si>
    <t>24 Units</t>
  </si>
  <si>
    <t>Full Reserves Quarterly Cost</t>
  </si>
  <si>
    <t>Quarterly Fee</t>
  </si>
  <si>
    <t>Reserves for 2018</t>
  </si>
  <si>
    <t>2018 Budget</t>
  </si>
  <si>
    <t>2018 Budget - 40%</t>
  </si>
  <si>
    <t>Irrigation</t>
  </si>
  <si>
    <t>Postage</t>
  </si>
  <si>
    <t>Tree Trimming</t>
  </si>
  <si>
    <t>Master Association</t>
  </si>
  <si>
    <t>PER Month</t>
  </si>
  <si>
    <t>Monthly</t>
  </si>
  <si>
    <t>2018 MAINTENANCE ASSESSMENT</t>
  </si>
  <si>
    <t>Expenses 2018</t>
  </si>
  <si>
    <t>Approved</t>
  </si>
  <si>
    <t>2019 MAINTENANCE ASSESSMENT</t>
  </si>
  <si>
    <t>Assessment for Roof Repairs</t>
  </si>
  <si>
    <t>not include in budget</t>
  </si>
  <si>
    <t>Reserves for 2019</t>
  </si>
  <si>
    <t>21 Units</t>
  </si>
  <si>
    <t>Roof assessment $150 per unit per month, rough estimate</t>
  </si>
  <si>
    <t>Full Reserves Monthly Cost</t>
  </si>
  <si>
    <t>Monthly Fee</t>
  </si>
  <si>
    <t>Reserves for 2020</t>
  </si>
  <si>
    <t>2019 Budget</t>
  </si>
  <si>
    <t>2019 Budget - 40%</t>
  </si>
  <si>
    <t>Assessment for Roof/Paint</t>
  </si>
  <si>
    <t>Laundry Machine Repairs</t>
  </si>
  <si>
    <t>Roof Replacement Expense</t>
  </si>
  <si>
    <t>Roof Loan Repayment</t>
  </si>
  <si>
    <t>2020 MAINTENANCE ASSESSMENT</t>
  </si>
  <si>
    <t>Monthly Roof Assessment is $100.00 per month for 10 years total</t>
  </si>
  <si>
    <t>Reserves for 2021</t>
  </si>
  <si>
    <t>2020 Budget</t>
  </si>
  <si>
    <t>2020 Budget - 40%</t>
  </si>
  <si>
    <t>2021 MAINTENANCE ASSESSMENT</t>
  </si>
  <si>
    <t>Expenses</t>
  </si>
  <si>
    <t>Insurane Claim</t>
  </si>
  <si>
    <t>Paint Expense</t>
  </si>
  <si>
    <t>Garbage Epxense</t>
  </si>
  <si>
    <t xml:space="preserve">Approved </t>
  </si>
  <si>
    <t xml:space="preserve">Monthly Roof Assessment is $100.00 per month for 10 years total and no reserves for 2021.  </t>
  </si>
  <si>
    <t>Projected</t>
  </si>
  <si>
    <t>Reserves for 2022</t>
  </si>
  <si>
    <t>2021 Budget</t>
  </si>
  <si>
    <t>2021 Budget - 40%</t>
  </si>
  <si>
    <t>Garbage Expense</t>
  </si>
  <si>
    <t>Interest Income</t>
  </si>
  <si>
    <t>Bank Fees</t>
  </si>
  <si>
    <t>Accounting Fees / (Taxes)</t>
  </si>
  <si>
    <t xml:space="preserve">Monthly Roof Assessment is $100.00 per month for 10 years total </t>
  </si>
  <si>
    <t>*The Florida Statues require the Board of Directors to adopt a budget with full reserves.  The unit owners at a duly called meeting, may vote against the funding of full reserves or may opt to vote for reserves "less than adequate". (Partial Reserves)</t>
  </si>
  <si>
    <t>2023 MAINTENANCE ASSESSMENT</t>
  </si>
  <si>
    <t>PER Month $270.00</t>
  </si>
  <si>
    <t>Reserves for 2023</t>
  </si>
  <si>
    <t>2023 Budget</t>
  </si>
  <si>
    <t>2023 Budget - 40%</t>
  </si>
  <si>
    <t>Reserves for 2024</t>
  </si>
  <si>
    <t>2024 Budget</t>
  </si>
  <si>
    <t>2024 Budget - 40%</t>
  </si>
  <si>
    <t>2024 MAINTENANCE ASSESSMENT</t>
  </si>
  <si>
    <t>PER Month $400.00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</si>
</sst>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8" formatCode="&quot;$&quot;#,##0.00_);[Red]\(&quot;$&quot;#,##0.00\)"/>
    <numFmt numFmtId="164" formatCode="&quot;$&quot;#,##0.00"/>
    <numFmt numFmtId="165" formatCode="&quot;$&quot;#,##0"/>
  </numFmts>
  <fonts count="26" x14ac:knownFonts="1">
    <font>
      <sz val="9"/>
      <name val="Arial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8"/>
      <name val="Arial"/>
      <family val="2"/>
    </font>
    <font>
      <sz val="10"/>
      <name val="Arial"/>
      <family val="2"/>
    </font>
    <font>
      <b/>
      <i/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0" applyNumberFormat="0" applyAlignment="0" applyProtection="0"/>
    <xf numFmtId="0" fontId="10" fillId="28" borderId="11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0" applyNumberFormat="0" applyAlignment="0" applyProtection="0"/>
    <xf numFmtId="0" fontId="17" fillId="0" borderId="15" applyNumberFormat="0" applyFill="0" applyAlignment="0" applyProtection="0"/>
    <xf numFmtId="0" fontId="18" fillId="31" borderId="0" applyNumberFormat="0" applyBorder="0" applyAlignment="0" applyProtection="0"/>
    <xf numFmtId="0" fontId="6" fillId="32" borderId="16" applyNumberFormat="0" applyFont="0" applyAlignment="0" applyProtection="0"/>
    <xf numFmtId="0" fontId="19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</cellStyleXfs>
  <cellXfs count="120">
    <xf numFmtId="0" fontId="0" fillId="0" borderId="0" xfId="0"/>
    <xf numFmtId="49" fontId="0" fillId="0" borderId="0" xfId="0" applyNumberFormat="1" applyAlignment="1">
      <alignment horizontal="left"/>
    </xf>
    <xf numFmtId="0" fontId="3" fillId="33" borderId="1" xfId="0" applyFont="1" applyFill="1" applyBorder="1"/>
    <xf numFmtId="0" fontId="2" fillId="33" borderId="0" xfId="0" applyFont="1" applyFill="1"/>
    <xf numFmtId="49" fontId="2" fillId="33" borderId="0" xfId="0" applyNumberFormat="1" applyFont="1" applyFill="1" applyAlignment="1">
      <alignment horizontal="left"/>
    </xf>
    <xf numFmtId="49" fontId="2" fillId="0" borderId="5" xfId="0" applyNumberFormat="1" applyFont="1" applyBorder="1" applyAlignment="1">
      <alignment horizontal="left" indent="2"/>
    </xf>
    <xf numFmtId="49" fontId="2" fillId="0" borderId="4" xfId="0" applyNumberFormat="1" applyFont="1" applyBorder="1" applyAlignment="1">
      <alignment horizontal="left" indent="2"/>
    </xf>
    <xf numFmtId="49" fontId="2" fillId="0" borderId="0" xfId="0" applyNumberFormat="1" applyFont="1" applyAlignment="1">
      <alignment horizontal="left" indent="2"/>
    </xf>
    <xf numFmtId="49" fontId="2" fillId="0" borderId="7" xfId="0" applyNumberFormat="1" applyFont="1" applyBorder="1" applyAlignment="1">
      <alignment horizontal="left" indent="2"/>
    </xf>
    <xf numFmtId="49" fontId="1" fillId="0" borderId="5" xfId="0" applyNumberFormat="1" applyFont="1" applyBorder="1" applyAlignment="1">
      <alignment horizontal="left" indent="2"/>
    </xf>
    <xf numFmtId="49" fontId="2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37" fontId="2" fillId="0" borderId="0" xfId="0" applyNumberFormat="1" applyFont="1"/>
    <xf numFmtId="0" fontId="1" fillId="0" borderId="0" xfId="0" applyFont="1" applyAlignment="1">
      <alignment horizontal="left" indent="2"/>
    </xf>
    <xf numFmtId="49" fontId="1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horizontal="left"/>
    </xf>
    <xf numFmtId="49" fontId="1" fillId="0" borderId="5" xfId="0" applyNumberFormat="1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5" xfId="0" applyBorder="1" applyAlignment="1">
      <alignment horizontal="center"/>
    </xf>
    <xf numFmtId="10" fontId="0" fillId="0" borderId="5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0" fontId="5" fillId="34" borderId="24" xfId="0" applyFont="1" applyFill="1" applyBorder="1" applyAlignment="1">
      <alignment horizontal="center"/>
    </xf>
    <xf numFmtId="0" fontId="5" fillId="34" borderId="25" xfId="0" applyFont="1" applyFill="1" applyBorder="1" applyAlignment="1">
      <alignment horizontal="center"/>
    </xf>
    <xf numFmtId="164" fontId="5" fillId="34" borderId="25" xfId="0" applyNumberFormat="1" applyFont="1" applyFill="1" applyBorder="1" applyAlignment="1">
      <alignment horizontal="center"/>
    </xf>
    <xf numFmtId="10" fontId="5" fillId="34" borderId="25" xfId="0" applyNumberFormat="1" applyFont="1" applyFill="1" applyBorder="1" applyAlignment="1">
      <alignment horizontal="center"/>
    </xf>
    <xf numFmtId="164" fontId="5" fillId="34" borderId="26" xfId="0" applyNumberFormat="1" applyFon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5" fontId="1" fillId="0" borderId="0" xfId="0" applyNumberFormat="1" applyFont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/>
    </xf>
    <xf numFmtId="49" fontId="4" fillId="0" borderId="39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164" fontId="1" fillId="0" borderId="41" xfId="0" applyNumberFormat="1" applyFont="1" applyBorder="1" applyAlignment="1">
      <alignment horizontal="center"/>
    </xf>
    <xf numFmtId="164" fontId="0" fillId="35" borderId="5" xfId="0" applyNumberFormat="1" applyFill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2" fillId="0" borderId="2" xfId="0" applyNumberFormat="1" applyFont="1" applyBorder="1" applyAlignment="1">
      <alignment horizontal="center"/>
    </xf>
    <xf numFmtId="165" fontId="1" fillId="0" borderId="4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 vertical="center"/>
    </xf>
    <xf numFmtId="14" fontId="4" fillId="36" borderId="5" xfId="0" applyNumberFormat="1" applyFont="1" applyFill="1" applyBorder="1" applyAlignment="1">
      <alignment horizontal="center"/>
    </xf>
    <xf numFmtId="0" fontId="0" fillId="36" borderId="5" xfId="0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41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4" fontId="25" fillId="0" borderId="25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164" fontId="5" fillId="37" borderId="26" xfId="0" applyNumberFormat="1" applyFont="1" applyFill="1" applyBorder="1" applyAlignment="1">
      <alignment horizontal="center"/>
    </xf>
    <xf numFmtId="164" fontId="0" fillId="0" borderId="0" xfId="0" applyNumberFormat="1"/>
    <xf numFmtId="164" fontId="1" fillId="0" borderId="37" xfId="0" applyNumberFormat="1" applyFont="1" applyBorder="1" applyAlignment="1">
      <alignment horizontal="center" vertical="center"/>
    </xf>
    <xf numFmtId="164" fontId="1" fillId="0" borderId="38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8" fontId="4" fillId="0" borderId="7" xfId="0" applyNumberFormat="1" applyFont="1" applyBorder="1" applyAlignment="1">
      <alignment horizontal="center"/>
    </xf>
    <xf numFmtId="8" fontId="4" fillId="0" borderId="8" xfId="0" applyNumberFormat="1" applyFont="1" applyBorder="1" applyAlignment="1">
      <alignment horizontal="center"/>
    </xf>
    <xf numFmtId="8" fontId="4" fillId="0" borderId="9" xfId="0" applyNumberFormat="1" applyFont="1" applyBorder="1" applyAlignment="1">
      <alignment horizontal="center"/>
    </xf>
    <xf numFmtId="8" fontId="4" fillId="0" borderId="5" xfId="0" applyNumberFormat="1" applyFont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49" fontId="5" fillId="0" borderId="30" xfId="0" applyNumberFormat="1" applyFont="1" applyBorder="1" applyAlignment="1">
      <alignment horizontal="center" wrapText="1"/>
    </xf>
    <xf numFmtId="49" fontId="5" fillId="0" borderId="32" xfId="0" applyNumberFormat="1" applyFont="1" applyBorder="1" applyAlignment="1">
      <alignment horizontal="center" wrapText="1"/>
    </xf>
    <xf numFmtId="49" fontId="5" fillId="0" borderId="33" xfId="0" applyNumberFormat="1" applyFont="1" applyBorder="1" applyAlignment="1">
      <alignment horizontal="center" wrapText="1"/>
    </xf>
    <xf numFmtId="49" fontId="5" fillId="0" borderId="35" xfId="0" applyNumberFormat="1" applyFont="1" applyBorder="1" applyAlignment="1">
      <alignment horizontal="center" wrapText="1"/>
    </xf>
    <xf numFmtId="8" fontId="4" fillId="0" borderId="7" xfId="0" applyNumberFormat="1" applyFont="1" applyBorder="1" applyAlignment="1">
      <alignment horizontal="center" vertical="center"/>
    </xf>
    <xf numFmtId="8" fontId="4" fillId="0" borderId="8" xfId="0" applyNumberFormat="1" applyFont="1" applyBorder="1" applyAlignment="1">
      <alignment horizontal="center" vertical="center"/>
    </xf>
    <xf numFmtId="8" fontId="4" fillId="0" borderId="9" xfId="0" applyNumberFormat="1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0"/>
  <sheetViews>
    <sheetView zoomScaleNormal="100" workbookViewId="0">
      <selection activeCell="C29" sqref="C29"/>
    </sheetView>
  </sheetViews>
  <sheetFormatPr defaultColWidth="9" defaultRowHeight="11.4" x14ac:dyDescent="0.2"/>
  <cols>
    <col min="1" max="1" width="42.875" style="1" bestFit="1" customWidth="1"/>
    <col min="2" max="3" width="14" style="40" bestFit="1" customWidth="1"/>
  </cols>
  <sheetData>
    <row r="1" spans="1:3" ht="17.399999999999999" x14ac:dyDescent="0.3">
      <c r="A1" s="2"/>
      <c r="B1" s="43">
        <v>2017</v>
      </c>
      <c r="C1" s="43">
        <v>2018</v>
      </c>
    </row>
    <row r="2" spans="1:3" ht="15.6" x14ac:dyDescent="0.3">
      <c r="A2" s="3"/>
      <c r="B2" s="44" t="s">
        <v>8</v>
      </c>
      <c r="C2" s="44" t="s">
        <v>32</v>
      </c>
    </row>
    <row r="3" spans="1:3" ht="15.6" x14ac:dyDescent="0.3">
      <c r="A3" s="4"/>
      <c r="B3" s="44" t="s">
        <v>9</v>
      </c>
      <c r="C3" s="44" t="s">
        <v>9</v>
      </c>
    </row>
    <row r="4" spans="1:3" ht="15.6" x14ac:dyDescent="0.3">
      <c r="A4" s="13" t="s">
        <v>10</v>
      </c>
      <c r="B4" s="39"/>
    </row>
    <row r="5" spans="1:3" ht="15" x14ac:dyDescent="0.25">
      <c r="A5" s="5" t="s">
        <v>11</v>
      </c>
      <c r="B5" s="45">
        <f>21*200*12</f>
        <v>50400</v>
      </c>
      <c r="C5" s="45">
        <f>21*250*12</f>
        <v>63000</v>
      </c>
    </row>
    <row r="6" spans="1:3" ht="15" x14ac:dyDescent="0.25">
      <c r="A6" s="5" t="s">
        <v>12</v>
      </c>
      <c r="B6" s="45">
        <v>100</v>
      </c>
      <c r="C6" s="45">
        <v>100</v>
      </c>
    </row>
    <row r="7" spans="1:3" ht="15" x14ac:dyDescent="0.25">
      <c r="A7" s="5" t="s">
        <v>13</v>
      </c>
      <c r="B7" s="45">
        <v>500</v>
      </c>
      <c r="C7" s="45">
        <v>500</v>
      </c>
    </row>
    <row r="8" spans="1:3" ht="15.6" x14ac:dyDescent="0.3">
      <c r="A8" s="9" t="s">
        <v>14</v>
      </c>
      <c r="B8" s="50">
        <f>SUM(B5:B7)</f>
        <v>51000</v>
      </c>
      <c r="C8" s="50">
        <f t="shared" ref="C8" si="0">SUM(C5:C7)</f>
        <v>63600</v>
      </c>
    </row>
    <row r="9" spans="1:3" ht="15.6" x14ac:dyDescent="0.3">
      <c r="A9" s="13" t="s">
        <v>15</v>
      </c>
      <c r="B9" s="46"/>
      <c r="C9" s="46"/>
    </row>
    <row r="10" spans="1:3" ht="15" x14ac:dyDescent="0.25">
      <c r="A10" s="5" t="s">
        <v>5</v>
      </c>
      <c r="B10" s="45">
        <v>0</v>
      </c>
      <c r="C10" s="45">
        <f>400*12</f>
        <v>4800</v>
      </c>
    </row>
    <row r="11" spans="1:3" ht="15" x14ac:dyDescent="0.25">
      <c r="A11" s="5" t="s">
        <v>16</v>
      </c>
      <c r="B11" s="45">
        <v>2000</v>
      </c>
      <c r="C11" s="45">
        <v>300</v>
      </c>
    </row>
    <row r="12" spans="1:3" ht="15" x14ac:dyDescent="0.25">
      <c r="A12" s="5" t="s">
        <v>17</v>
      </c>
      <c r="B12" s="45">
        <v>2000</v>
      </c>
      <c r="C12" s="45">
        <v>2000</v>
      </c>
    </row>
    <row r="13" spans="1:3" ht="15" x14ac:dyDescent="0.25">
      <c r="A13" s="5" t="s">
        <v>18</v>
      </c>
      <c r="B13" s="45">
        <v>250</v>
      </c>
      <c r="C13" s="45">
        <v>250</v>
      </c>
    </row>
    <row r="14" spans="1:3" ht="15" x14ac:dyDescent="0.25">
      <c r="A14" s="5" t="s">
        <v>19</v>
      </c>
      <c r="B14" s="45">
        <v>200</v>
      </c>
      <c r="C14" s="45">
        <v>0</v>
      </c>
    </row>
    <row r="15" spans="1:3" ht="15" x14ac:dyDescent="0.25">
      <c r="A15" s="5" t="s">
        <v>6</v>
      </c>
      <c r="B15" s="45">
        <v>2000</v>
      </c>
      <c r="C15" s="45">
        <v>13000</v>
      </c>
    </row>
    <row r="16" spans="1:3" ht="15" x14ac:dyDescent="0.25">
      <c r="A16" s="5" t="s">
        <v>20</v>
      </c>
      <c r="B16" s="45">
        <v>4000</v>
      </c>
      <c r="C16" s="45">
        <v>200</v>
      </c>
    </row>
    <row r="17" spans="1:3" ht="15.6" thickBot="1" x14ac:dyDescent="0.3">
      <c r="A17" s="8" t="s">
        <v>64</v>
      </c>
      <c r="B17" s="51">
        <v>100</v>
      </c>
      <c r="C17" s="51">
        <v>100</v>
      </c>
    </row>
    <row r="18" spans="1:3" ht="15.6" x14ac:dyDescent="0.3">
      <c r="A18" s="9" t="s">
        <v>26</v>
      </c>
      <c r="B18" s="50">
        <f>SUM(B10:B17)</f>
        <v>10550</v>
      </c>
      <c r="C18" s="50">
        <f>SUM(C10:C17)</f>
        <v>20650</v>
      </c>
    </row>
    <row r="19" spans="1:3" ht="15.6" x14ac:dyDescent="0.3">
      <c r="A19" s="13" t="s">
        <v>21</v>
      </c>
      <c r="B19" s="46"/>
      <c r="C19" s="46"/>
    </row>
    <row r="20" spans="1:3" ht="15" x14ac:dyDescent="0.25">
      <c r="A20" s="5" t="s">
        <v>22</v>
      </c>
      <c r="B20" s="45">
        <v>2600</v>
      </c>
      <c r="C20" s="45">
        <f>250*12</f>
        <v>3000</v>
      </c>
    </row>
    <row r="21" spans="1:3" ht="15" x14ac:dyDescent="0.25">
      <c r="A21" s="5" t="s">
        <v>4</v>
      </c>
      <c r="B21" s="45">
        <v>1500</v>
      </c>
      <c r="C21" s="45">
        <v>2400</v>
      </c>
    </row>
    <row r="22" spans="1:3" ht="15" x14ac:dyDescent="0.25">
      <c r="A22" s="5" t="s">
        <v>23</v>
      </c>
      <c r="B22" s="45">
        <v>1000</v>
      </c>
      <c r="C22" s="45">
        <v>1200</v>
      </c>
    </row>
    <row r="23" spans="1:3" ht="15" x14ac:dyDescent="0.25">
      <c r="A23" s="6" t="s">
        <v>65</v>
      </c>
      <c r="B23" s="45">
        <v>0</v>
      </c>
      <c r="C23" s="45">
        <v>1000</v>
      </c>
    </row>
    <row r="24" spans="1:3" ht="15" x14ac:dyDescent="0.25">
      <c r="A24" s="6" t="s">
        <v>63</v>
      </c>
      <c r="B24" s="45">
        <v>100</v>
      </c>
      <c r="C24" s="45">
        <v>200</v>
      </c>
    </row>
    <row r="25" spans="1:3" ht="15.6" x14ac:dyDescent="0.3">
      <c r="A25" s="9" t="s">
        <v>24</v>
      </c>
      <c r="B25" s="50">
        <f>SUM(B20:B24)</f>
        <v>5200</v>
      </c>
      <c r="C25" s="50">
        <f>SUM(C20:C24)</f>
        <v>7800</v>
      </c>
    </row>
    <row r="26" spans="1:3" ht="15.6" x14ac:dyDescent="0.3">
      <c r="A26" s="13" t="s">
        <v>0</v>
      </c>
      <c r="B26" s="46"/>
      <c r="C26" s="46"/>
    </row>
    <row r="27" spans="1:3" ht="15" x14ac:dyDescent="0.25">
      <c r="A27" s="5" t="s">
        <v>1</v>
      </c>
      <c r="B27" s="45">
        <v>1800</v>
      </c>
      <c r="C27" s="45">
        <v>1800</v>
      </c>
    </row>
    <row r="28" spans="1:3" ht="15" x14ac:dyDescent="0.25">
      <c r="A28" s="5" t="s">
        <v>2</v>
      </c>
      <c r="B28" s="45">
        <v>15000</v>
      </c>
      <c r="C28" s="45">
        <v>14950</v>
      </c>
    </row>
    <row r="29" spans="1:3" ht="15.6" thickBot="1" x14ac:dyDescent="0.3">
      <c r="A29" s="5" t="s">
        <v>3</v>
      </c>
      <c r="B29" s="51">
        <v>1800</v>
      </c>
      <c r="C29" s="51">
        <v>1800</v>
      </c>
    </row>
    <row r="30" spans="1:3" ht="15.6" x14ac:dyDescent="0.3">
      <c r="A30" s="9" t="s">
        <v>25</v>
      </c>
      <c r="B30" s="50">
        <f>SUM(B27:B29)</f>
        <v>18600</v>
      </c>
      <c r="C30" s="50">
        <f>SUM(C27:C29)</f>
        <v>18550</v>
      </c>
    </row>
    <row r="31" spans="1:3" ht="15.6" x14ac:dyDescent="0.3">
      <c r="A31" s="14" t="s">
        <v>27</v>
      </c>
      <c r="B31" s="48"/>
      <c r="C31" s="48"/>
    </row>
    <row r="32" spans="1:3" ht="15" x14ac:dyDescent="0.25">
      <c r="A32" s="5" t="s">
        <v>66</v>
      </c>
      <c r="B32" s="45">
        <v>3200</v>
      </c>
      <c r="C32" s="45">
        <v>3200</v>
      </c>
    </row>
    <row r="33" spans="1:5" ht="15" x14ac:dyDescent="0.25">
      <c r="A33" s="5" t="s">
        <v>28</v>
      </c>
      <c r="B33" s="45">
        <v>0</v>
      </c>
      <c r="C33" s="45">
        <v>400</v>
      </c>
    </row>
    <row r="34" spans="1:5" ht="15" x14ac:dyDescent="0.25">
      <c r="A34" s="5" t="s">
        <v>29</v>
      </c>
      <c r="B34" s="45">
        <v>13450</v>
      </c>
      <c r="C34" s="45">
        <v>13000</v>
      </c>
    </row>
    <row r="35" spans="1:5" ht="16.2" thickBot="1" x14ac:dyDescent="0.35">
      <c r="A35" s="16" t="s">
        <v>30</v>
      </c>
      <c r="B35" s="53">
        <f>SUM(B32:B34)</f>
        <v>16650</v>
      </c>
      <c r="C35" s="56">
        <f>SUM(C32:C34)</f>
        <v>16600</v>
      </c>
      <c r="D35" s="87"/>
      <c r="E35" s="88"/>
    </row>
    <row r="36" spans="1:5" ht="16.2" thickTop="1" x14ac:dyDescent="0.2">
      <c r="A36" s="11" t="s">
        <v>7</v>
      </c>
      <c r="B36" s="52">
        <f>B35+B30+B25+B18</f>
        <v>51000</v>
      </c>
      <c r="C36" s="52">
        <f>SUM(C35+C30+C25+C18)</f>
        <v>63600</v>
      </c>
    </row>
    <row r="37" spans="1:5" ht="16.2" thickBot="1" x14ac:dyDescent="0.35">
      <c r="A37" s="10"/>
      <c r="B37" s="47"/>
      <c r="C37" s="48"/>
    </row>
    <row r="38" spans="1:5" ht="13.8" x14ac:dyDescent="0.2">
      <c r="A38" s="54" t="s">
        <v>69</v>
      </c>
      <c r="B38" s="85">
        <v>250</v>
      </c>
      <c r="C38" s="49"/>
    </row>
    <row r="39" spans="1:5" ht="16.2" thickBot="1" x14ac:dyDescent="0.35">
      <c r="A39" s="55" t="s">
        <v>67</v>
      </c>
      <c r="B39" s="86"/>
      <c r="C39" s="48"/>
    </row>
    <row r="40" spans="1:5" ht="15.6" x14ac:dyDescent="0.3">
      <c r="A40" s="15"/>
      <c r="B40" s="41"/>
      <c r="C40" s="41"/>
    </row>
  </sheetData>
  <mergeCells count="2">
    <mergeCell ref="B38:B39"/>
    <mergeCell ref="D35:E35"/>
  </mergeCells>
  <pageMargins left="0.25" right="0.25" top="0.75" bottom="0.75" header="0.3" footer="0.3"/>
  <pageSetup scale="68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0B81-6D4D-4032-9052-B1B6CF319308}">
  <sheetPr>
    <tabColor rgb="FFFFFF00"/>
  </sheetPr>
  <dimension ref="A1:M17"/>
  <sheetViews>
    <sheetView view="pageBreakPreview" topLeftCell="A5" zoomScaleNormal="100" zoomScaleSheetLayoutView="100" workbookViewId="0">
      <selection activeCell="L15" sqref="L15"/>
    </sheetView>
  </sheetViews>
  <sheetFormatPr defaultColWidth="9" defaultRowHeight="11.4" x14ac:dyDescent="0.2"/>
  <cols>
    <col min="1" max="1" width="17" bestFit="1" customWidth="1"/>
    <col min="2" max="2" width="11.125" bestFit="1" customWidth="1"/>
    <col min="3" max="3" width="13.375" bestFit="1" customWidth="1"/>
    <col min="4" max="4" width="15.875" bestFit="1" customWidth="1"/>
    <col min="5" max="5" width="12.875" bestFit="1" customWidth="1"/>
    <col min="6" max="6" width="14" customWidth="1"/>
    <col min="7" max="7" width="13.875" bestFit="1" customWidth="1"/>
    <col min="8" max="8" width="18.125" bestFit="1" customWidth="1"/>
    <col min="9" max="9" width="20" bestFit="1" customWidth="1"/>
    <col min="12" max="12" width="22.375" customWidth="1"/>
  </cols>
  <sheetData>
    <row r="1" spans="1:13" ht="25.5" customHeight="1" x14ac:dyDescent="0.4">
      <c r="A1" s="95" t="s">
        <v>100</v>
      </c>
      <c r="B1" s="95"/>
      <c r="C1" s="95"/>
      <c r="D1" s="95"/>
      <c r="E1" s="95"/>
      <c r="F1" s="95"/>
      <c r="G1" s="95"/>
      <c r="H1" s="95"/>
    </row>
    <row r="2" spans="1:13" ht="25.5" customHeight="1" thickBot="1" x14ac:dyDescent="0.25"/>
    <row r="3" spans="1:13" ht="25.5" customHeight="1" x14ac:dyDescent="0.25">
      <c r="A3" s="17" t="s">
        <v>34</v>
      </c>
      <c r="B3" s="18" t="s">
        <v>33</v>
      </c>
      <c r="C3" s="18" t="s">
        <v>33</v>
      </c>
      <c r="D3" s="18" t="s">
        <v>35</v>
      </c>
      <c r="E3" s="19" t="s">
        <v>36</v>
      </c>
      <c r="F3" s="18" t="s">
        <v>37</v>
      </c>
      <c r="G3" s="18" t="s">
        <v>38</v>
      </c>
      <c r="H3" s="20" t="s">
        <v>39</v>
      </c>
      <c r="I3" s="20" t="s">
        <v>39</v>
      </c>
      <c r="L3" s="7"/>
      <c r="M3" s="12"/>
    </row>
    <row r="4" spans="1:13" ht="25.5" customHeight="1" x14ac:dyDescent="0.25">
      <c r="A4" s="21"/>
      <c r="B4" s="22" t="s">
        <v>40</v>
      </c>
      <c r="C4" s="22" t="s">
        <v>41</v>
      </c>
      <c r="D4" s="22" t="s">
        <v>42</v>
      </c>
      <c r="E4" s="23" t="s">
        <v>43</v>
      </c>
      <c r="F4" s="22" t="s">
        <v>44</v>
      </c>
      <c r="G4" s="22" t="s">
        <v>39</v>
      </c>
      <c r="H4" s="24" t="s">
        <v>101</v>
      </c>
      <c r="I4" s="24" t="s">
        <v>102</v>
      </c>
      <c r="L4" s="7"/>
      <c r="M4" s="12"/>
    </row>
    <row r="5" spans="1:13" ht="25.5" customHeight="1" x14ac:dyDescent="0.25">
      <c r="A5" s="21"/>
      <c r="B5" s="22"/>
      <c r="C5" s="22"/>
      <c r="D5" s="22"/>
      <c r="E5" s="23" t="s">
        <v>45</v>
      </c>
      <c r="F5" s="25">
        <v>44561</v>
      </c>
      <c r="G5" s="22" t="s">
        <v>46</v>
      </c>
      <c r="H5" s="24" t="s">
        <v>47</v>
      </c>
      <c r="I5" s="24" t="s">
        <v>48</v>
      </c>
      <c r="L5" s="7"/>
      <c r="M5" s="12"/>
    </row>
    <row r="6" spans="1:13" ht="25.5" customHeight="1" x14ac:dyDescent="0.25">
      <c r="A6" s="26" t="s">
        <v>49</v>
      </c>
      <c r="B6" s="27">
        <v>20</v>
      </c>
      <c r="C6" s="57">
        <v>200000</v>
      </c>
      <c r="D6" s="27">
        <v>18</v>
      </c>
      <c r="E6" s="28">
        <v>0.2</v>
      </c>
      <c r="F6" s="42">
        <v>0</v>
      </c>
      <c r="G6" s="42">
        <f>SUM(C6/D6)-F6</f>
        <v>11111.111111111111</v>
      </c>
      <c r="H6" s="29">
        <f>SUM(C6/D6)</f>
        <v>11111.111111111111</v>
      </c>
      <c r="I6" s="30">
        <f>SUM(H6*0.4)</f>
        <v>4444.4444444444443</v>
      </c>
      <c r="L6" s="7"/>
      <c r="M6" s="12"/>
    </row>
    <row r="7" spans="1:13" ht="25.5" customHeight="1" x14ac:dyDescent="0.25">
      <c r="A7" s="26" t="s">
        <v>31</v>
      </c>
      <c r="B7" s="27">
        <v>50</v>
      </c>
      <c r="C7" s="42">
        <v>50000</v>
      </c>
      <c r="D7" s="27">
        <v>4</v>
      </c>
      <c r="E7" s="28">
        <v>0.2</v>
      </c>
      <c r="F7" s="42">
        <v>0</v>
      </c>
      <c r="G7" s="42">
        <f t="shared" ref="G7:G9" si="0">SUM(C7/D7)-F7</f>
        <v>12500</v>
      </c>
      <c r="H7" s="29">
        <f t="shared" ref="H7:H9" si="1">SUM(C7/D7)</f>
        <v>12500</v>
      </c>
      <c r="I7" s="30">
        <f>SUM(H7*0.4)</f>
        <v>5000</v>
      </c>
      <c r="L7" s="7"/>
      <c r="M7" s="12"/>
    </row>
    <row r="8" spans="1:13" ht="25.5" customHeight="1" x14ac:dyDescent="0.25">
      <c r="A8" s="26" t="s">
        <v>50</v>
      </c>
      <c r="B8" s="27">
        <v>8</v>
      </c>
      <c r="C8" s="42">
        <v>15000</v>
      </c>
      <c r="D8" s="27">
        <v>1</v>
      </c>
      <c r="E8" s="28">
        <v>0.2</v>
      </c>
      <c r="F8" s="42">
        <v>0</v>
      </c>
      <c r="G8" s="42">
        <f t="shared" si="0"/>
        <v>15000</v>
      </c>
      <c r="H8" s="29">
        <f t="shared" si="1"/>
        <v>15000</v>
      </c>
      <c r="I8" s="29">
        <f>SUM(H8*0.4)</f>
        <v>6000</v>
      </c>
      <c r="L8" s="7"/>
      <c r="M8" s="12"/>
    </row>
    <row r="9" spans="1:13" ht="25.5" customHeight="1" x14ac:dyDescent="0.25">
      <c r="A9" s="26" t="s">
        <v>51</v>
      </c>
      <c r="B9" s="27">
        <v>7</v>
      </c>
      <c r="C9" s="42">
        <v>25000</v>
      </c>
      <c r="D9" s="27">
        <v>6</v>
      </c>
      <c r="E9" s="28">
        <v>0.2</v>
      </c>
      <c r="F9" s="42">
        <v>0</v>
      </c>
      <c r="G9" s="42">
        <f t="shared" si="0"/>
        <v>4166.666666666667</v>
      </c>
      <c r="H9" s="29">
        <f t="shared" si="1"/>
        <v>4166.666666666667</v>
      </c>
      <c r="I9" s="29">
        <f>SUM(H9*0.4)</f>
        <v>1666.666666666667</v>
      </c>
    </row>
    <row r="10" spans="1:13" ht="25.5" customHeight="1" thickBot="1" x14ac:dyDescent="0.3">
      <c r="A10" s="31" t="s">
        <v>52</v>
      </c>
      <c r="B10" s="32"/>
      <c r="C10" s="33">
        <f>SUM(C6:C9)</f>
        <v>290000</v>
      </c>
      <c r="D10" s="32"/>
      <c r="E10" s="34">
        <f>SUM(E6:E9)</f>
        <v>0.8</v>
      </c>
      <c r="F10" s="33">
        <f>SUM(F6:F9)</f>
        <v>0</v>
      </c>
      <c r="G10" s="33">
        <f>SUM(G6:G9)</f>
        <v>42777.777777777774</v>
      </c>
      <c r="H10" s="35">
        <f>SUM(H6:H9)</f>
        <v>42777.777777777774</v>
      </c>
      <c r="I10" s="35">
        <f>SUM(I6:I9)</f>
        <v>17111.111111111113</v>
      </c>
    </row>
    <row r="11" spans="1:13" ht="25.5" customHeight="1" thickBot="1" x14ac:dyDescent="0.25"/>
    <row r="12" spans="1:13" ht="25.5" customHeight="1" x14ac:dyDescent="0.25">
      <c r="A12" s="96" t="s">
        <v>53</v>
      </c>
      <c r="B12" s="97"/>
      <c r="C12" s="98"/>
      <c r="D12" s="99" t="s">
        <v>54</v>
      </c>
      <c r="E12" s="99"/>
      <c r="F12" s="99"/>
      <c r="G12" s="99"/>
      <c r="H12" s="99"/>
      <c r="I12" s="99"/>
    </row>
    <row r="13" spans="1:13" ht="33.75" customHeight="1" x14ac:dyDescent="0.25">
      <c r="A13" s="21" t="s">
        <v>76</v>
      </c>
      <c r="B13" s="112" t="s">
        <v>68</v>
      </c>
      <c r="C13" s="113"/>
      <c r="D13" s="114"/>
      <c r="E13" s="115" t="s">
        <v>78</v>
      </c>
      <c r="F13" s="115"/>
      <c r="G13" s="59" t="s">
        <v>79</v>
      </c>
      <c r="H13" s="60" t="s">
        <v>48</v>
      </c>
      <c r="I13" s="60" t="s">
        <v>55</v>
      </c>
    </row>
    <row r="14" spans="1:13" ht="25.5" customHeight="1" x14ac:dyDescent="0.25">
      <c r="A14" s="26" t="s">
        <v>76</v>
      </c>
      <c r="B14" s="104">
        <v>270</v>
      </c>
      <c r="C14" s="105"/>
      <c r="D14" s="106"/>
      <c r="E14" s="107">
        <f>SUM(H10/21)/12</f>
        <v>169.75308641975309</v>
      </c>
      <c r="F14" s="107"/>
      <c r="G14" s="36">
        <f>SUM(B14+E14)</f>
        <v>439.75308641975312</v>
      </c>
      <c r="H14" s="42">
        <f>SUM(I10/21/12)</f>
        <v>67.901234567901241</v>
      </c>
      <c r="I14" s="42">
        <f>SUM(H14+B14)</f>
        <v>337.90123456790127</v>
      </c>
    </row>
    <row r="15" spans="1:13" ht="25.5" customHeight="1" thickBot="1" x14ac:dyDescent="0.25"/>
    <row r="16" spans="1:13" ht="25.5" customHeight="1" x14ac:dyDescent="0.2">
      <c r="A16" s="89" t="s">
        <v>108</v>
      </c>
      <c r="B16" s="90"/>
      <c r="C16" s="90"/>
      <c r="D16" s="90"/>
      <c r="E16" s="90"/>
      <c r="F16" s="90"/>
      <c r="G16" s="90"/>
      <c r="H16" s="90"/>
      <c r="I16" s="91"/>
    </row>
    <row r="17" spans="1:9" ht="25.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4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B30E-6169-44A7-9AF4-E68938B4C2D7}">
  <sheetPr>
    <tabColor rgb="FF92D050"/>
  </sheetPr>
  <dimension ref="A1:G49"/>
  <sheetViews>
    <sheetView view="pageBreakPreview" zoomScaleNormal="100" zoomScaleSheetLayoutView="66" workbookViewId="0">
      <selection activeCell="D43" sqref="D43"/>
    </sheetView>
  </sheetViews>
  <sheetFormatPr defaultColWidth="9" defaultRowHeight="11.4" x14ac:dyDescent="0.2"/>
  <cols>
    <col min="1" max="1" width="54" style="1" bestFit="1" customWidth="1"/>
    <col min="2" max="2" width="17.875" style="40" bestFit="1" customWidth="1"/>
    <col min="3" max="3" width="17.875" style="72" customWidth="1"/>
    <col min="4" max="4" width="17.875" style="40" bestFit="1" customWidth="1"/>
    <col min="5" max="5" width="17.875" style="40" customWidth="1"/>
  </cols>
  <sheetData>
    <row r="1" spans="1:5" ht="17.399999999999999" x14ac:dyDescent="0.3">
      <c r="A1" s="2"/>
      <c r="B1" s="43">
        <v>2022</v>
      </c>
      <c r="C1" s="43">
        <v>2022</v>
      </c>
      <c r="D1" s="43">
        <v>2023</v>
      </c>
      <c r="E1" s="67"/>
    </row>
    <row r="2" spans="1:5" ht="15.6" x14ac:dyDescent="0.3">
      <c r="A2" s="3"/>
      <c r="B2" s="44" t="s">
        <v>71</v>
      </c>
      <c r="C2" s="71" t="s">
        <v>33</v>
      </c>
      <c r="D2" s="44" t="s">
        <v>99</v>
      </c>
      <c r="E2" s="67"/>
    </row>
    <row r="3" spans="1:5" ht="15.6" x14ac:dyDescent="0.3">
      <c r="A3" s="4"/>
      <c r="B3" s="44" t="s">
        <v>9</v>
      </c>
      <c r="C3" s="71" t="s">
        <v>93</v>
      </c>
      <c r="D3" s="44" t="s">
        <v>9</v>
      </c>
      <c r="E3" s="67"/>
    </row>
    <row r="4" spans="1:5" ht="24.75" customHeight="1" x14ac:dyDescent="0.3">
      <c r="A4" s="13" t="s">
        <v>10</v>
      </c>
    </row>
    <row r="5" spans="1:5" ht="24.75" customHeight="1" x14ac:dyDescent="0.3">
      <c r="A5" s="5" t="s">
        <v>11</v>
      </c>
      <c r="B5" s="45">
        <f>270*21*12</f>
        <v>68040</v>
      </c>
      <c r="C5" s="73">
        <v>68040</v>
      </c>
      <c r="D5" s="45">
        <f>SUM(D41-D39-D6-D7-D8-D9)</f>
        <v>67970</v>
      </c>
      <c r="E5" s="46"/>
    </row>
    <row r="6" spans="1:5" ht="24.75" customHeight="1" x14ac:dyDescent="0.3">
      <c r="A6" s="5" t="s">
        <v>83</v>
      </c>
      <c r="B6" s="45">
        <v>25200</v>
      </c>
      <c r="C6" s="73">
        <v>25200</v>
      </c>
      <c r="D6" s="45">
        <v>25200</v>
      </c>
      <c r="E6" s="46"/>
    </row>
    <row r="7" spans="1:5" ht="24.75" customHeight="1" x14ac:dyDescent="0.3">
      <c r="A7" s="5" t="s">
        <v>12</v>
      </c>
      <c r="B7" s="45">
        <v>250</v>
      </c>
      <c r="C7" s="73">
        <v>250</v>
      </c>
      <c r="D7" s="45">
        <v>100</v>
      </c>
      <c r="E7" s="46"/>
    </row>
    <row r="8" spans="1:5" ht="24.75" customHeight="1" x14ac:dyDescent="0.3">
      <c r="A8" s="5" t="s">
        <v>104</v>
      </c>
      <c r="B8" s="62">
        <v>10</v>
      </c>
      <c r="C8" s="70">
        <v>10</v>
      </c>
      <c r="D8" s="62">
        <v>10</v>
      </c>
      <c r="E8" s="46"/>
    </row>
    <row r="9" spans="1:5" ht="24.75" customHeight="1" thickBot="1" x14ac:dyDescent="0.35">
      <c r="A9" s="5" t="s">
        <v>13</v>
      </c>
      <c r="B9" s="51">
        <v>2400</v>
      </c>
      <c r="C9" s="81">
        <v>2000</v>
      </c>
      <c r="D9" s="51">
        <v>2000</v>
      </c>
      <c r="E9" s="46"/>
    </row>
    <row r="10" spans="1:5" ht="24.75" customHeight="1" x14ac:dyDescent="0.3">
      <c r="A10" s="9" t="s">
        <v>14</v>
      </c>
      <c r="B10" s="50">
        <f>SUM(B5:B9)</f>
        <v>95900</v>
      </c>
      <c r="C10" s="50">
        <f>SUM(C5:C9)</f>
        <v>95500</v>
      </c>
      <c r="D10" s="50">
        <f>SUM(D5:D9)</f>
        <v>95280</v>
      </c>
      <c r="E10" s="48"/>
    </row>
    <row r="11" spans="1:5" ht="24.75" customHeight="1" x14ac:dyDescent="0.3">
      <c r="A11" s="13" t="s">
        <v>15</v>
      </c>
      <c r="B11" s="46"/>
      <c r="C11" s="76"/>
      <c r="D11" s="46"/>
      <c r="E11" s="46"/>
    </row>
    <row r="12" spans="1:5" ht="24.75" customHeight="1" x14ac:dyDescent="0.3">
      <c r="A12" s="5" t="s">
        <v>5</v>
      </c>
      <c r="B12" s="45">
        <v>4800</v>
      </c>
      <c r="C12" s="73">
        <v>4800</v>
      </c>
      <c r="D12" s="45">
        <v>4800</v>
      </c>
      <c r="E12" s="46"/>
    </row>
    <row r="13" spans="1:5" ht="24.75" customHeight="1" x14ac:dyDescent="0.3">
      <c r="A13" s="5" t="s">
        <v>106</v>
      </c>
      <c r="B13" s="45">
        <v>320</v>
      </c>
      <c r="C13" s="73">
        <v>325</v>
      </c>
      <c r="D13" s="45">
        <v>350</v>
      </c>
      <c r="E13" s="46"/>
    </row>
    <row r="14" spans="1:5" ht="24.75" customHeight="1" x14ac:dyDescent="0.3">
      <c r="A14" s="5" t="s">
        <v>105</v>
      </c>
      <c r="B14" s="45">
        <v>75</v>
      </c>
      <c r="C14" s="73">
        <v>0</v>
      </c>
      <c r="D14" s="45">
        <v>50</v>
      </c>
      <c r="E14" s="46"/>
    </row>
    <row r="15" spans="1:5" ht="24.75" customHeight="1" x14ac:dyDescent="0.3">
      <c r="A15" s="5" t="s">
        <v>17</v>
      </c>
      <c r="B15" s="45">
        <v>500</v>
      </c>
      <c r="C15" s="73">
        <v>0</v>
      </c>
      <c r="D15" s="45">
        <v>500</v>
      </c>
      <c r="E15" s="46"/>
    </row>
    <row r="16" spans="1:5" ht="24.75" customHeight="1" x14ac:dyDescent="0.3">
      <c r="A16" s="5" t="s">
        <v>18</v>
      </c>
      <c r="B16" s="45">
        <v>120</v>
      </c>
      <c r="C16" s="73">
        <v>120</v>
      </c>
      <c r="D16" s="45">
        <v>120</v>
      </c>
      <c r="E16" s="46"/>
    </row>
    <row r="17" spans="1:5" ht="24.75" customHeight="1" x14ac:dyDescent="0.3">
      <c r="A17" s="5" t="s">
        <v>6</v>
      </c>
      <c r="B17" s="45">
        <v>22911</v>
      </c>
      <c r="C17" s="73">
        <v>26000</v>
      </c>
      <c r="D17" s="45">
        <v>30000</v>
      </c>
      <c r="E17" s="46"/>
    </row>
    <row r="18" spans="1:5" ht="24.75" customHeight="1" x14ac:dyDescent="0.3">
      <c r="A18" s="5" t="s">
        <v>20</v>
      </c>
      <c r="B18" s="45">
        <v>950</v>
      </c>
      <c r="C18" s="73">
        <v>900</v>
      </c>
      <c r="D18" s="45">
        <v>900</v>
      </c>
      <c r="E18" s="46"/>
    </row>
    <row r="19" spans="1:5" ht="24.75" customHeight="1" thickBot="1" x14ac:dyDescent="0.35">
      <c r="A19" s="8" t="s">
        <v>64</v>
      </c>
      <c r="B19" s="51">
        <v>50</v>
      </c>
      <c r="C19" s="74">
        <v>50</v>
      </c>
      <c r="D19" s="51">
        <v>50</v>
      </c>
      <c r="E19" s="46"/>
    </row>
    <row r="20" spans="1:5" ht="24.75" customHeight="1" x14ac:dyDescent="0.3">
      <c r="A20" s="9" t="s">
        <v>26</v>
      </c>
      <c r="B20" s="50">
        <f>SUM(B12:B19)</f>
        <v>29726</v>
      </c>
      <c r="C20" s="80">
        <f>SUM(C12:C19)</f>
        <v>32195</v>
      </c>
      <c r="D20" s="50">
        <f>SUM(D12:D19)</f>
        <v>36770</v>
      </c>
      <c r="E20" s="48"/>
    </row>
    <row r="21" spans="1:5" ht="24.75" customHeight="1" x14ac:dyDescent="0.3">
      <c r="A21" s="13" t="s">
        <v>21</v>
      </c>
      <c r="B21" s="46"/>
      <c r="C21" s="76"/>
      <c r="D21" s="46"/>
      <c r="E21" s="46"/>
    </row>
    <row r="22" spans="1:5" ht="24.75" customHeight="1" x14ac:dyDescent="0.3">
      <c r="A22" s="5" t="s">
        <v>22</v>
      </c>
      <c r="B22" s="45">
        <v>3200</v>
      </c>
      <c r="C22" s="73">
        <v>3000</v>
      </c>
      <c r="D22" s="45">
        <v>3200</v>
      </c>
      <c r="E22" s="46"/>
    </row>
    <row r="23" spans="1:5" ht="24.75" customHeight="1" x14ac:dyDescent="0.3">
      <c r="A23" s="5" t="s">
        <v>4</v>
      </c>
      <c r="B23" s="45">
        <v>3900</v>
      </c>
      <c r="C23" s="73">
        <v>4500</v>
      </c>
      <c r="D23" s="45">
        <v>4500</v>
      </c>
      <c r="E23" s="46"/>
    </row>
    <row r="24" spans="1:5" ht="24.75" customHeight="1" x14ac:dyDescent="0.3">
      <c r="A24" s="5" t="s">
        <v>23</v>
      </c>
      <c r="B24" s="45">
        <v>2200</v>
      </c>
      <c r="C24" s="73">
        <v>2000</v>
      </c>
      <c r="D24" s="45">
        <v>2900</v>
      </c>
      <c r="E24" s="46"/>
    </row>
    <row r="25" spans="1:5" ht="24.75" customHeight="1" x14ac:dyDescent="0.3">
      <c r="A25" s="6" t="s">
        <v>65</v>
      </c>
      <c r="B25" s="45">
        <v>1000</v>
      </c>
      <c r="C25" s="73">
        <v>4000</v>
      </c>
      <c r="D25" s="45">
        <v>5000</v>
      </c>
      <c r="E25" s="46"/>
    </row>
    <row r="26" spans="1:5" ht="24.75" customHeight="1" thickBot="1" x14ac:dyDescent="0.35">
      <c r="A26" s="6" t="s">
        <v>63</v>
      </c>
      <c r="B26" s="51">
        <v>200</v>
      </c>
      <c r="C26" s="74">
        <v>200</v>
      </c>
      <c r="D26" s="51">
        <v>200</v>
      </c>
      <c r="E26" s="46"/>
    </row>
    <row r="27" spans="1:5" ht="24.75" customHeight="1" x14ac:dyDescent="0.3">
      <c r="A27" s="9" t="s">
        <v>24</v>
      </c>
      <c r="B27" s="50">
        <f>SUM(B22:B26)</f>
        <v>10500</v>
      </c>
      <c r="C27" s="75">
        <v>10500</v>
      </c>
      <c r="D27" s="50">
        <f>SUM(D22:D26)</f>
        <v>15800</v>
      </c>
      <c r="E27" s="48"/>
    </row>
    <row r="28" spans="1:5" ht="24.75" customHeight="1" x14ac:dyDescent="0.3">
      <c r="A28" s="13" t="s">
        <v>0</v>
      </c>
      <c r="B28" s="46"/>
      <c r="C28" s="76"/>
      <c r="D28" s="46"/>
      <c r="E28" s="46"/>
    </row>
    <row r="29" spans="1:5" ht="24.75" customHeight="1" x14ac:dyDescent="0.3">
      <c r="A29" s="5" t="s">
        <v>1</v>
      </c>
      <c r="B29" s="45">
        <v>2400</v>
      </c>
      <c r="C29" s="73">
        <v>2200</v>
      </c>
      <c r="D29" s="45">
        <v>2500</v>
      </c>
      <c r="E29" s="46"/>
    </row>
    <row r="30" spans="1:5" ht="24.75" customHeight="1" x14ac:dyDescent="0.3">
      <c r="A30" s="5" t="s">
        <v>2</v>
      </c>
      <c r="B30" s="45">
        <v>1750</v>
      </c>
      <c r="C30" s="73">
        <v>17000</v>
      </c>
      <c r="D30" s="45">
        <v>17500</v>
      </c>
      <c r="E30" s="46"/>
    </row>
    <row r="31" spans="1:5" ht="24.75" customHeight="1" x14ac:dyDescent="0.3">
      <c r="A31" s="5" t="s">
        <v>103</v>
      </c>
      <c r="B31" s="62">
        <v>6300</v>
      </c>
      <c r="C31" s="70">
        <v>10700</v>
      </c>
      <c r="D31" s="62">
        <v>12000</v>
      </c>
      <c r="E31" s="46"/>
    </row>
    <row r="32" spans="1:5" ht="24.75" customHeight="1" thickBot="1" x14ac:dyDescent="0.35">
      <c r="A32" s="5" t="s">
        <v>3</v>
      </c>
      <c r="B32" s="51">
        <v>520</v>
      </c>
      <c r="C32" s="74">
        <v>560</v>
      </c>
      <c r="D32" s="51">
        <v>560</v>
      </c>
      <c r="E32" s="46"/>
    </row>
    <row r="33" spans="1:5" ht="24.75" customHeight="1" x14ac:dyDescent="0.3">
      <c r="A33" s="9" t="s">
        <v>25</v>
      </c>
      <c r="B33" s="50">
        <f>SUM(B29:B32)</f>
        <v>10970</v>
      </c>
      <c r="C33" s="75">
        <v>26216</v>
      </c>
      <c r="D33" s="50">
        <f>SUM(D29:D32)</f>
        <v>32560</v>
      </c>
      <c r="E33" s="48"/>
    </row>
    <row r="34" spans="1:5" ht="24.75" customHeight="1" x14ac:dyDescent="0.3">
      <c r="A34" s="14" t="s">
        <v>27</v>
      </c>
      <c r="B34" s="48"/>
      <c r="C34" s="77"/>
      <c r="D34" s="48"/>
      <c r="E34" s="48"/>
    </row>
    <row r="35" spans="1:5" ht="24.75" customHeight="1" x14ac:dyDescent="0.3">
      <c r="A35" s="5" t="s">
        <v>66</v>
      </c>
      <c r="B35" s="45">
        <v>4500</v>
      </c>
      <c r="C35" s="73">
        <f>356*12</f>
        <v>4272</v>
      </c>
      <c r="D35" s="45">
        <v>4500</v>
      </c>
      <c r="E35" s="46"/>
    </row>
    <row r="36" spans="1:5" ht="24.75" customHeight="1" x14ac:dyDescent="0.3">
      <c r="A36" s="5" t="s">
        <v>28</v>
      </c>
      <c r="B36" s="45">
        <v>800</v>
      </c>
      <c r="C36" s="73">
        <v>550</v>
      </c>
      <c r="D36" s="45">
        <v>550</v>
      </c>
      <c r="E36" s="46"/>
    </row>
    <row r="37" spans="1:5" ht="24.75" customHeight="1" x14ac:dyDescent="0.3">
      <c r="A37" s="5" t="s">
        <v>84</v>
      </c>
      <c r="B37" s="45">
        <v>2100</v>
      </c>
      <c r="C37" s="73">
        <v>500</v>
      </c>
      <c r="D37" s="45">
        <v>1000</v>
      </c>
      <c r="E37" s="46"/>
    </row>
    <row r="38" spans="1:5" ht="24.75" customHeight="1" x14ac:dyDescent="0.3">
      <c r="A38" s="5" t="s">
        <v>29</v>
      </c>
      <c r="B38" s="45">
        <v>8000</v>
      </c>
      <c r="C38" s="73">
        <v>4000</v>
      </c>
      <c r="D38" s="45">
        <v>4100</v>
      </c>
      <c r="E38" s="46"/>
    </row>
    <row r="39" spans="1:5" ht="24.75" customHeight="1" x14ac:dyDescent="0.3">
      <c r="A39" s="5" t="s">
        <v>86</v>
      </c>
      <c r="B39" s="58">
        <v>29304</v>
      </c>
      <c r="C39" s="78">
        <v>29393</v>
      </c>
      <c r="D39" s="58">
        <v>29304</v>
      </c>
      <c r="E39" s="46"/>
    </row>
    <row r="40" spans="1:5" ht="24.75" customHeight="1" thickBot="1" x14ac:dyDescent="0.35">
      <c r="A40" s="16" t="s">
        <v>30</v>
      </c>
      <c r="B40" s="63">
        <f>SUM(B35:B39)</f>
        <v>44704</v>
      </c>
      <c r="C40" s="79">
        <v>43882</v>
      </c>
      <c r="D40" s="63">
        <f>SUM(D35:D39)</f>
        <v>39454</v>
      </c>
      <c r="E40" s="68"/>
    </row>
    <row r="41" spans="1:5" ht="24.75" customHeight="1" thickTop="1" x14ac:dyDescent="0.3">
      <c r="A41" s="11" t="s">
        <v>7</v>
      </c>
      <c r="B41" s="64">
        <f>SUM(B40+B33+B27+B20)</f>
        <v>95900</v>
      </c>
      <c r="C41" s="75">
        <v>106903</v>
      </c>
      <c r="D41" s="64">
        <f>SUM(D40+D33+D27+D20)</f>
        <v>124584</v>
      </c>
      <c r="E41" s="69"/>
    </row>
    <row r="42" spans="1:5" ht="24.75" customHeight="1" thickBot="1" x14ac:dyDescent="0.35">
      <c r="A42" s="10"/>
      <c r="B42" s="48"/>
      <c r="C42" s="77"/>
      <c r="D42" s="48">
        <f>240*4</f>
        <v>960</v>
      </c>
      <c r="E42" s="48"/>
    </row>
    <row r="43" spans="1:5" ht="24.75" customHeight="1" x14ac:dyDescent="0.2">
      <c r="A43" s="54" t="s">
        <v>109</v>
      </c>
      <c r="B43" s="49"/>
      <c r="C43" s="82">
        <f>SUM(D5/21)/12</f>
        <v>269.72222222222223</v>
      </c>
      <c r="D43" s="49"/>
      <c r="E43" s="49"/>
    </row>
    <row r="44" spans="1:5" ht="24.75" customHeight="1" thickBot="1" x14ac:dyDescent="0.35">
      <c r="A44" s="55" t="s">
        <v>110</v>
      </c>
      <c r="B44" s="48"/>
      <c r="C44" s="77"/>
      <c r="D44" s="48"/>
      <c r="E44" s="48"/>
    </row>
    <row r="45" spans="1:5" ht="24.75" customHeight="1" x14ac:dyDescent="0.3">
      <c r="A45" s="116" t="s">
        <v>107</v>
      </c>
      <c r="B45" s="41"/>
      <c r="C45" s="77">
        <f>20000/21/4</f>
        <v>238.0952380952381</v>
      </c>
      <c r="D45" s="41">
        <f>240*4*21</f>
        <v>20160</v>
      </c>
      <c r="E45" s="41"/>
    </row>
    <row r="46" spans="1:5" ht="24.75" customHeight="1" thickBot="1" x14ac:dyDescent="0.25">
      <c r="A46" s="118"/>
    </row>
    <row r="47" spans="1:5" ht="24.75" customHeight="1" x14ac:dyDescent="0.2"/>
    <row r="48" spans="1:5" ht="24.75" customHeight="1" x14ac:dyDescent="0.2"/>
    <row r="49" spans="2:7" s="1" customFormat="1" ht="24.75" customHeight="1" x14ac:dyDescent="0.2">
      <c r="B49" s="40"/>
      <c r="C49" s="72"/>
      <c r="D49" s="40"/>
      <c r="E49" s="40"/>
      <c r="F49"/>
      <c r="G49"/>
    </row>
  </sheetData>
  <mergeCells count="1">
    <mergeCell ref="A45:A46"/>
  </mergeCells>
  <pageMargins left="0.25" right="0.25" top="0.75" bottom="0.75" header="0.3" footer="0.3"/>
  <pageSetup scale="60" fitToWidth="0" orientation="portrait" r:id="rId1"/>
  <headerFooter>
    <oddHeader>&amp;C&amp;"Arial,Bold"&amp;14Applegreen #4 Condominium Association, Inc Budget for 2021 from January 1, 2022 to December 31, 2022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857E-7B2A-480C-89F8-7CF20E52C9FA}">
  <sheetPr>
    <tabColor rgb="FF92D050"/>
  </sheetPr>
  <dimension ref="A1:M17"/>
  <sheetViews>
    <sheetView view="pageBreakPreview" zoomScaleNormal="100" zoomScaleSheetLayoutView="100" workbookViewId="0">
      <selection activeCell="K11" sqref="K11"/>
    </sheetView>
  </sheetViews>
  <sheetFormatPr defaultColWidth="9" defaultRowHeight="11.4" x14ac:dyDescent="0.2"/>
  <cols>
    <col min="1" max="1" width="17" bestFit="1" customWidth="1"/>
    <col min="2" max="2" width="11.125" bestFit="1" customWidth="1"/>
    <col min="3" max="3" width="13.375" bestFit="1" customWidth="1"/>
    <col min="4" max="4" width="15.875" bestFit="1" customWidth="1"/>
    <col min="5" max="5" width="12.875" bestFit="1" customWidth="1"/>
    <col min="6" max="6" width="14" customWidth="1"/>
    <col min="7" max="7" width="13.875" bestFit="1" customWidth="1"/>
    <col min="8" max="8" width="18.125" bestFit="1" customWidth="1"/>
    <col min="9" max="9" width="20" bestFit="1" customWidth="1"/>
    <col min="12" max="12" width="22.375" customWidth="1"/>
  </cols>
  <sheetData>
    <row r="1" spans="1:13" ht="25.5" customHeight="1" x14ac:dyDescent="0.4">
      <c r="A1" s="95" t="s">
        <v>111</v>
      </c>
      <c r="B1" s="95"/>
      <c r="C1" s="95"/>
      <c r="D1" s="95"/>
      <c r="E1" s="95"/>
      <c r="F1" s="95"/>
      <c r="G1" s="95"/>
      <c r="H1" s="95"/>
    </row>
    <row r="2" spans="1:13" ht="25.5" customHeight="1" thickBot="1" x14ac:dyDescent="0.25"/>
    <row r="3" spans="1:13" ht="25.5" customHeight="1" x14ac:dyDescent="0.25">
      <c r="A3" s="17" t="s">
        <v>34</v>
      </c>
      <c r="B3" s="18" t="s">
        <v>33</v>
      </c>
      <c r="C3" s="18" t="s">
        <v>33</v>
      </c>
      <c r="D3" s="18" t="s">
        <v>35</v>
      </c>
      <c r="E3" s="19" t="s">
        <v>36</v>
      </c>
      <c r="F3" s="18" t="s">
        <v>37</v>
      </c>
      <c r="G3" s="18" t="s">
        <v>38</v>
      </c>
      <c r="H3" s="20" t="s">
        <v>39</v>
      </c>
      <c r="I3" s="20" t="s">
        <v>39</v>
      </c>
      <c r="L3" s="7"/>
      <c r="M3" s="12"/>
    </row>
    <row r="4" spans="1:13" ht="25.5" customHeight="1" x14ac:dyDescent="0.25">
      <c r="A4" s="21"/>
      <c r="B4" s="22" t="s">
        <v>40</v>
      </c>
      <c r="C4" s="22" t="s">
        <v>41</v>
      </c>
      <c r="D4" s="22" t="s">
        <v>42</v>
      </c>
      <c r="E4" s="23" t="s">
        <v>43</v>
      </c>
      <c r="F4" s="22" t="s">
        <v>44</v>
      </c>
      <c r="G4" s="22" t="s">
        <v>39</v>
      </c>
      <c r="H4" s="24" t="s">
        <v>112</v>
      </c>
      <c r="I4" s="24" t="s">
        <v>113</v>
      </c>
      <c r="L4" s="7"/>
      <c r="M4" s="12"/>
    </row>
    <row r="5" spans="1:13" ht="25.5" customHeight="1" x14ac:dyDescent="0.25">
      <c r="A5" s="21"/>
      <c r="B5" s="22"/>
      <c r="C5" s="22"/>
      <c r="D5" s="22"/>
      <c r="E5" s="23" t="s">
        <v>45</v>
      </c>
      <c r="F5" s="25">
        <v>44926</v>
      </c>
      <c r="G5" s="22" t="s">
        <v>46</v>
      </c>
      <c r="H5" s="24" t="s">
        <v>47</v>
      </c>
      <c r="I5" s="24" t="s">
        <v>48</v>
      </c>
      <c r="L5" s="7"/>
      <c r="M5" s="12"/>
    </row>
    <row r="6" spans="1:13" ht="25.5" customHeight="1" x14ac:dyDescent="0.25">
      <c r="A6" s="26" t="s">
        <v>49</v>
      </c>
      <c r="B6" s="27">
        <v>20</v>
      </c>
      <c r="C6" s="57">
        <v>200000</v>
      </c>
      <c r="D6" s="27">
        <v>18</v>
      </c>
      <c r="E6" s="28">
        <v>0.2</v>
      </c>
      <c r="F6" s="42">
        <v>0</v>
      </c>
      <c r="G6" s="42">
        <f>SUM(C6/D6)-F6</f>
        <v>11111.111111111111</v>
      </c>
      <c r="H6" s="29">
        <f>SUM(C6/D6)</f>
        <v>11111.111111111111</v>
      </c>
      <c r="I6" s="30">
        <f>SUM(H6*0.4)</f>
        <v>4444.4444444444443</v>
      </c>
      <c r="L6" s="7"/>
      <c r="M6" s="12"/>
    </row>
    <row r="7" spans="1:13" ht="25.5" customHeight="1" x14ac:dyDescent="0.25">
      <c r="A7" s="26" t="s">
        <v>31</v>
      </c>
      <c r="B7" s="27">
        <v>50</v>
      </c>
      <c r="C7" s="42">
        <v>50000</v>
      </c>
      <c r="D7" s="27">
        <v>4</v>
      </c>
      <c r="E7" s="28">
        <v>0.2</v>
      </c>
      <c r="F7" s="42">
        <v>0</v>
      </c>
      <c r="G7" s="42">
        <f t="shared" ref="G7:G9" si="0">SUM(C7/D7)-F7</f>
        <v>12500</v>
      </c>
      <c r="H7" s="29">
        <f t="shared" ref="H7:H9" si="1">SUM(C7/D7)</f>
        <v>12500</v>
      </c>
      <c r="I7" s="30">
        <f>SUM(H7*0.4)</f>
        <v>5000</v>
      </c>
      <c r="L7" s="7"/>
      <c r="M7" s="12"/>
    </row>
    <row r="8" spans="1:13" ht="25.5" customHeight="1" x14ac:dyDescent="0.25">
      <c r="A8" s="26" t="s">
        <v>50</v>
      </c>
      <c r="B8" s="27">
        <v>8</v>
      </c>
      <c r="C8" s="42">
        <v>15000</v>
      </c>
      <c r="D8" s="27">
        <v>2</v>
      </c>
      <c r="E8" s="28">
        <v>0.2</v>
      </c>
      <c r="F8" s="42">
        <v>0</v>
      </c>
      <c r="G8" s="42">
        <f t="shared" si="0"/>
        <v>7500</v>
      </c>
      <c r="H8" s="29">
        <f t="shared" si="1"/>
        <v>7500</v>
      </c>
      <c r="I8" s="29">
        <f>SUM(H8*0.4)</f>
        <v>3000</v>
      </c>
      <c r="L8" s="7"/>
      <c r="M8" s="12"/>
    </row>
    <row r="9" spans="1:13" ht="25.5" customHeight="1" x14ac:dyDescent="0.25">
      <c r="A9" s="26" t="s">
        <v>51</v>
      </c>
      <c r="B9" s="27">
        <v>7</v>
      </c>
      <c r="C9" s="42">
        <v>25000</v>
      </c>
      <c r="D9" s="27">
        <v>6</v>
      </c>
      <c r="E9" s="28">
        <v>0.2</v>
      </c>
      <c r="F9" s="42">
        <v>0</v>
      </c>
      <c r="G9" s="42">
        <f t="shared" si="0"/>
        <v>4166.666666666667</v>
      </c>
      <c r="H9" s="29">
        <f t="shared" si="1"/>
        <v>4166.666666666667</v>
      </c>
      <c r="I9" s="29">
        <f>SUM(H9*0.4)</f>
        <v>1666.666666666667</v>
      </c>
    </row>
    <row r="10" spans="1:13" ht="25.5" customHeight="1" thickBot="1" x14ac:dyDescent="0.3">
      <c r="A10" s="31" t="s">
        <v>52</v>
      </c>
      <c r="B10" s="32"/>
      <c r="C10" s="33">
        <f>SUM(C6:C9)</f>
        <v>290000</v>
      </c>
      <c r="D10" s="32"/>
      <c r="E10" s="34">
        <f>SUM(E6:E9)</f>
        <v>0.8</v>
      </c>
      <c r="F10" s="33">
        <f>SUM(F6:F9)</f>
        <v>0</v>
      </c>
      <c r="G10" s="33">
        <f>SUM(G6:G9)</f>
        <v>35277.777777777774</v>
      </c>
      <c r="H10" s="83">
        <f>SUM(H6:H9)</f>
        <v>35277.777777777774</v>
      </c>
      <c r="I10" s="35">
        <f>SUM(I6:I9)</f>
        <v>14111.111111111113</v>
      </c>
      <c r="K10" s="84">
        <f>I10/12</f>
        <v>1175.9259259259261</v>
      </c>
    </row>
    <row r="11" spans="1:13" ht="25.5" customHeight="1" thickBot="1" x14ac:dyDescent="0.25"/>
    <row r="12" spans="1:13" ht="25.5" customHeight="1" x14ac:dyDescent="0.25">
      <c r="A12" s="96" t="s">
        <v>53</v>
      </c>
      <c r="B12" s="97"/>
      <c r="C12" s="98"/>
      <c r="D12" s="99" t="s">
        <v>54</v>
      </c>
      <c r="E12" s="99"/>
      <c r="F12" s="99"/>
      <c r="G12" s="99"/>
      <c r="H12" s="99"/>
      <c r="I12" s="99"/>
    </row>
    <row r="13" spans="1:13" ht="33.75" customHeight="1" x14ac:dyDescent="0.25">
      <c r="A13" s="21" t="s">
        <v>76</v>
      </c>
      <c r="B13" s="112" t="s">
        <v>68</v>
      </c>
      <c r="C13" s="113"/>
      <c r="D13" s="114"/>
      <c r="E13" s="115" t="s">
        <v>78</v>
      </c>
      <c r="F13" s="115"/>
      <c r="G13" s="59" t="s">
        <v>79</v>
      </c>
      <c r="H13" s="60" t="s">
        <v>48</v>
      </c>
      <c r="I13" s="60" t="s">
        <v>55</v>
      </c>
    </row>
    <row r="14" spans="1:13" ht="25.5" customHeight="1" x14ac:dyDescent="0.25">
      <c r="A14" s="26" t="s">
        <v>76</v>
      </c>
      <c r="B14" s="104">
        <v>270</v>
      </c>
      <c r="C14" s="105"/>
      <c r="D14" s="106"/>
      <c r="E14" s="107">
        <f>SUM(H10/21)/12</f>
        <v>139.9911816578483</v>
      </c>
      <c r="F14" s="107"/>
      <c r="G14" s="36">
        <f>SUM(B14+E14)</f>
        <v>409.9911816578483</v>
      </c>
      <c r="H14" s="42">
        <f>SUM(I10/21/12)</f>
        <v>55.996472663139336</v>
      </c>
      <c r="I14" s="42">
        <f>SUM(H14+B14)</f>
        <v>325.99647266313934</v>
      </c>
    </row>
    <row r="15" spans="1:13" ht="25.5" customHeight="1" thickBot="1" x14ac:dyDescent="0.25"/>
    <row r="16" spans="1:13" ht="25.5" customHeight="1" x14ac:dyDescent="0.2">
      <c r="A16" s="89" t="s">
        <v>108</v>
      </c>
      <c r="B16" s="90"/>
      <c r="C16" s="90"/>
      <c r="D16" s="90"/>
      <c r="E16" s="90"/>
      <c r="F16" s="90"/>
      <c r="G16" s="90"/>
      <c r="H16" s="90"/>
      <c r="I16" s="91"/>
    </row>
    <row r="17" spans="1:9" ht="25.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4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E41A-3400-45FE-8D3F-FB9F2ECA2DAE}">
  <sheetPr>
    <tabColor rgb="FF92D050"/>
  </sheetPr>
  <dimension ref="A1:G49"/>
  <sheetViews>
    <sheetView view="pageBreakPreview" topLeftCell="A27" zoomScaleNormal="100" zoomScaleSheetLayoutView="66" workbookViewId="0">
      <selection activeCell="A2" sqref="A2:D46"/>
    </sheetView>
  </sheetViews>
  <sheetFormatPr defaultColWidth="9" defaultRowHeight="11.4" x14ac:dyDescent="0.2"/>
  <cols>
    <col min="1" max="1" width="54" style="1" bestFit="1" customWidth="1"/>
    <col min="2" max="2" width="17.875" style="40" bestFit="1" customWidth="1"/>
    <col min="3" max="3" width="17.875" style="72" customWidth="1"/>
    <col min="4" max="4" width="17.875" style="40" bestFit="1" customWidth="1"/>
    <col min="5" max="5" width="17.875" style="40" customWidth="1"/>
  </cols>
  <sheetData>
    <row r="1" spans="1:5" ht="17.399999999999999" x14ac:dyDescent="0.3">
      <c r="A1" s="2"/>
      <c r="B1" s="43">
        <v>2023</v>
      </c>
      <c r="C1" s="43">
        <v>2023</v>
      </c>
      <c r="D1" s="43">
        <v>2024</v>
      </c>
      <c r="E1" s="67"/>
    </row>
    <row r="2" spans="1:5" ht="15.6" x14ac:dyDescent="0.3">
      <c r="A2" s="3"/>
      <c r="B2" s="44" t="s">
        <v>71</v>
      </c>
      <c r="C2" s="71" t="s">
        <v>33</v>
      </c>
      <c r="D2" s="44" t="s">
        <v>99</v>
      </c>
      <c r="E2" s="67"/>
    </row>
    <row r="3" spans="1:5" ht="15.6" x14ac:dyDescent="0.3">
      <c r="A3" s="4"/>
      <c r="B3" s="44" t="s">
        <v>9</v>
      </c>
      <c r="C3" s="71" t="s">
        <v>93</v>
      </c>
      <c r="D3" s="44" t="s">
        <v>9</v>
      </c>
      <c r="E3" s="67"/>
    </row>
    <row r="4" spans="1:5" ht="24.75" customHeight="1" x14ac:dyDescent="0.3">
      <c r="A4" s="13" t="s">
        <v>10</v>
      </c>
    </row>
    <row r="5" spans="1:5" ht="24.75" customHeight="1" x14ac:dyDescent="0.3">
      <c r="A5" s="5" t="s">
        <v>11</v>
      </c>
      <c r="B5" s="45">
        <f>SUM(B41-B39-B6-B7-B8-B9)+20160</f>
        <v>88130</v>
      </c>
      <c r="C5" s="73">
        <v>88000</v>
      </c>
      <c r="D5" s="45">
        <f>E6-D6-D7-D8-D9</f>
        <v>100490</v>
      </c>
      <c r="E5" s="46"/>
    </row>
    <row r="6" spans="1:5" ht="24.75" customHeight="1" x14ac:dyDescent="0.3">
      <c r="A6" s="5" t="s">
        <v>83</v>
      </c>
      <c r="B6" s="45">
        <v>25200</v>
      </c>
      <c r="C6" s="73">
        <v>22000</v>
      </c>
      <c r="D6" s="45">
        <v>25200</v>
      </c>
      <c r="E6" s="46">
        <f>D41</f>
        <v>126150</v>
      </c>
    </row>
    <row r="7" spans="1:5" ht="24.75" customHeight="1" x14ac:dyDescent="0.3">
      <c r="A7" s="5" t="s">
        <v>12</v>
      </c>
      <c r="B7" s="45">
        <v>100</v>
      </c>
      <c r="C7" s="73">
        <v>50</v>
      </c>
      <c r="D7" s="45">
        <v>50</v>
      </c>
      <c r="E7" s="46"/>
    </row>
    <row r="8" spans="1:5" ht="24.75" customHeight="1" x14ac:dyDescent="0.3">
      <c r="A8" s="5" t="s">
        <v>104</v>
      </c>
      <c r="B8" s="62">
        <v>10</v>
      </c>
      <c r="C8" s="70">
        <v>50</v>
      </c>
      <c r="D8" s="62">
        <v>10</v>
      </c>
      <c r="E8" s="46"/>
    </row>
    <row r="9" spans="1:5" ht="24.75" customHeight="1" thickBot="1" x14ac:dyDescent="0.35">
      <c r="A9" s="5" t="s">
        <v>13</v>
      </c>
      <c r="B9" s="51">
        <v>2000</v>
      </c>
      <c r="C9" s="81">
        <v>300</v>
      </c>
      <c r="D9" s="51">
        <v>400</v>
      </c>
      <c r="E9" s="46"/>
    </row>
    <row r="10" spans="1:5" ht="24.75" customHeight="1" x14ac:dyDescent="0.3">
      <c r="A10" s="9" t="s">
        <v>14</v>
      </c>
      <c r="B10" s="50">
        <f>SUM(B5:B9)</f>
        <v>115440</v>
      </c>
      <c r="C10" s="50">
        <f>SUM(C5:C9)</f>
        <v>110400</v>
      </c>
      <c r="D10" s="50">
        <f>SUM(D5:D9)</f>
        <v>126150</v>
      </c>
      <c r="E10" s="48"/>
    </row>
    <row r="11" spans="1:5" ht="24.75" customHeight="1" x14ac:dyDescent="0.3">
      <c r="A11" s="13" t="s">
        <v>15</v>
      </c>
      <c r="B11" s="46"/>
      <c r="C11" s="76"/>
      <c r="D11" s="46"/>
      <c r="E11" s="46"/>
    </row>
    <row r="12" spans="1:5" ht="24.75" customHeight="1" x14ac:dyDescent="0.3">
      <c r="A12" s="5" t="s">
        <v>5</v>
      </c>
      <c r="B12" s="45">
        <v>4800</v>
      </c>
      <c r="C12" s="73">
        <v>4800</v>
      </c>
      <c r="D12" s="45">
        <v>4800</v>
      </c>
      <c r="E12" s="46"/>
    </row>
    <row r="13" spans="1:5" ht="24.75" customHeight="1" x14ac:dyDescent="0.3">
      <c r="A13" s="5" t="s">
        <v>106</v>
      </c>
      <c r="B13" s="45">
        <v>350</v>
      </c>
      <c r="C13" s="73">
        <v>370</v>
      </c>
      <c r="D13" s="45">
        <v>400</v>
      </c>
      <c r="E13" s="46"/>
    </row>
    <row r="14" spans="1:5" ht="24.75" customHeight="1" x14ac:dyDescent="0.3">
      <c r="A14" s="5" t="s">
        <v>105</v>
      </c>
      <c r="B14" s="45">
        <v>50</v>
      </c>
      <c r="C14" s="73">
        <v>150</v>
      </c>
      <c r="D14" s="45">
        <v>150</v>
      </c>
      <c r="E14" s="46">
        <f>32*6</f>
        <v>192</v>
      </c>
    </row>
    <row r="15" spans="1:5" ht="24.75" customHeight="1" x14ac:dyDescent="0.3">
      <c r="A15" s="5" t="s">
        <v>17</v>
      </c>
      <c r="B15" s="45">
        <v>500</v>
      </c>
      <c r="C15" s="73">
        <v>0</v>
      </c>
      <c r="D15" s="45">
        <v>250</v>
      </c>
      <c r="E15" s="46"/>
    </row>
    <row r="16" spans="1:5" ht="24.75" customHeight="1" x14ac:dyDescent="0.3">
      <c r="A16" s="5" t="s">
        <v>18</v>
      </c>
      <c r="B16" s="45">
        <v>120</v>
      </c>
      <c r="C16" s="73">
        <v>150</v>
      </c>
      <c r="D16" s="45">
        <v>150</v>
      </c>
      <c r="E16" s="46"/>
    </row>
    <row r="17" spans="1:5" ht="24.75" customHeight="1" x14ac:dyDescent="0.3">
      <c r="A17" s="5" t="s">
        <v>6</v>
      </c>
      <c r="B17" s="45">
        <v>30000</v>
      </c>
      <c r="C17" s="73">
        <f>19200+12000</f>
        <v>31200</v>
      </c>
      <c r="D17" s="45">
        <v>34000</v>
      </c>
      <c r="E17" s="46"/>
    </row>
    <row r="18" spans="1:5" ht="24.75" customHeight="1" x14ac:dyDescent="0.3">
      <c r="A18" s="5" t="s">
        <v>20</v>
      </c>
      <c r="B18" s="45">
        <v>900</v>
      </c>
      <c r="C18" s="73">
        <v>900</v>
      </c>
      <c r="D18" s="45">
        <v>900</v>
      </c>
      <c r="E18" s="46"/>
    </row>
    <row r="19" spans="1:5" ht="24.75" customHeight="1" thickBot="1" x14ac:dyDescent="0.35">
      <c r="A19" s="8" t="s">
        <v>64</v>
      </c>
      <c r="B19" s="51">
        <v>50</v>
      </c>
      <c r="C19" s="74">
        <v>100</v>
      </c>
      <c r="D19" s="51">
        <v>100</v>
      </c>
      <c r="E19" s="46"/>
    </row>
    <row r="20" spans="1:5" ht="24.75" customHeight="1" x14ac:dyDescent="0.3">
      <c r="A20" s="9" t="s">
        <v>26</v>
      </c>
      <c r="B20" s="50">
        <f>SUM(B12:B19)</f>
        <v>36770</v>
      </c>
      <c r="C20" s="80">
        <f>SUM(C12:C19)</f>
        <v>37670</v>
      </c>
      <c r="D20" s="50">
        <f>SUM(D12:D19)</f>
        <v>40750</v>
      </c>
      <c r="E20" s="48"/>
    </row>
    <row r="21" spans="1:5" ht="24.75" customHeight="1" x14ac:dyDescent="0.3">
      <c r="A21" s="13" t="s">
        <v>21</v>
      </c>
      <c r="B21" s="46"/>
      <c r="C21" s="76"/>
      <c r="D21" s="46"/>
      <c r="E21" s="46"/>
    </row>
    <row r="22" spans="1:5" ht="24.75" customHeight="1" x14ac:dyDescent="0.3">
      <c r="A22" s="5" t="s">
        <v>22</v>
      </c>
      <c r="B22" s="45">
        <v>3200</v>
      </c>
      <c r="C22" s="73">
        <v>3600</v>
      </c>
      <c r="D22" s="45">
        <v>3600</v>
      </c>
      <c r="E22" s="46"/>
    </row>
    <row r="23" spans="1:5" ht="24.75" customHeight="1" x14ac:dyDescent="0.3">
      <c r="A23" s="5" t="s">
        <v>4</v>
      </c>
      <c r="B23" s="45">
        <v>4500</v>
      </c>
      <c r="C23" s="73">
        <v>4800</v>
      </c>
      <c r="D23" s="45">
        <v>4800</v>
      </c>
      <c r="E23" s="46"/>
    </row>
    <row r="24" spans="1:5" ht="24.75" customHeight="1" x14ac:dyDescent="0.3">
      <c r="A24" s="5" t="s">
        <v>23</v>
      </c>
      <c r="B24" s="45">
        <v>2900</v>
      </c>
      <c r="C24" s="73">
        <v>6400</v>
      </c>
      <c r="D24" s="45">
        <v>3200</v>
      </c>
      <c r="E24" s="46"/>
    </row>
    <row r="25" spans="1:5" ht="24.75" customHeight="1" x14ac:dyDescent="0.3">
      <c r="A25" s="6" t="s">
        <v>65</v>
      </c>
      <c r="B25" s="45">
        <v>5000</v>
      </c>
      <c r="C25" s="73">
        <v>2600</v>
      </c>
      <c r="D25" s="45">
        <v>2600</v>
      </c>
      <c r="E25" s="46"/>
    </row>
    <row r="26" spans="1:5" ht="24.75" customHeight="1" thickBot="1" x14ac:dyDescent="0.35">
      <c r="A26" s="6" t="s">
        <v>63</v>
      </c>
      <c r="B26" s="51">
        <v>200</v>
      </c>
      <c r="C26" s="74">
        <v>200</v>
      </c>
      <c r="D26" s="51">
        <v>200</v>
      </c>
      <c r="E26" s="46"/>
    </row>
    <row r="27" spans="1:5" ht="24.75" customHeight="1" x14ac:dyDescent="0.3">
      <c r="A27" s="9" t="s">
        <v>24</v>
      </c>
      <c r="B27" s="50">
        <f>SUM(B22:B26)</f>
        <v>15800</v>
      </c>
      <c r="C27" s="75">
        <v>10500</v>
      </c>
      <c r="D27" s="50">
        <f>SUM(D22:D26)</f>
        <v>14400</v>
      </c>
      <c r="E27" s="48"/>
    </row>
    <row r="28" spans="1:5" ht="24.75" customHeight="1" x14ac:dyDescent="0.3">
      <c r="A28" s="13" t="s">
        <v>0</v>
      </c>
      <c r="B28" s="46"/>
      <c r="C28" s="76"/>
      <c r="D28" s="46"/>
      <c r="E28" s="46"/>
    </row>
    <row r="29" spans="1:5" ht="24.75" customHeight="1" x14ac:dyDescent="0.3">
      <c r="A29" s="5" t="s">
        <v>1</v>
      </c>
      <c r="B29" s="45">
        <v>2500</v>
      </c>
      <c r="C29" s="73">
        <v>3100</v>
      </c>
      <c r="D29" s="45">
        <v>3100</v>
      </c>
      <c r="E29" s="46"/>
    </row>
    <row r="30" spans="1:5" ht="24.75" customHeight="1" x14ac:dyDescent="0.3">
      <c r="A30" s="5" t="s">
        <v>2</v>
      </c>
      <c r="B30" s="45">
        <v>17500</v>
      </c>
      <c r="C30" s="73">
        <v>17000</v>
      </c>
      <c r="D30" s="45">
        <v>17500</v>
      </c>
      <c r="E30" s="46"/>
    </row>
    <row r="31" spans="1:5" ht="24.75" customHeight="1" x14ac:dyDescent="0.3">
      <c r="A31" s="5" t="s">
        <v>103</v>
      </c>
      <c r="B31" s="62">
        <v>12000</v>
      </c>
      <c r="C31" s="70">
        <v>14000</v>
      </c>
      <c r="D31" s="62">
        <v>15000</v>
      </c>
      <c r="E31" s="46"/>
    </row>
    <row r="32" spans="1:5" ht="24.75" customHeight="1" thickBot="1" x14ac:dyDescent="0.35">
      <c r="A32" s="5" t="s">
        <v>3</v>
      </c>
      <c r="B32" s="51">
        <v>560</v>
      </c>
      <c r="C32" s="74">
        <v>700</v>
      </c>
      <c r="D32" s="51">
        <v>700</v>
      </c>
      <c r="E32" s="46"/>
    </row>
    <row r="33" spans="1:5" ht="24.75" customHeight="1" x14ac:dyDescent="0.3">
      <c r="A33" s="9" t="s">
        <v>25</v>
      </c>
      <c r="B33" s="50">
        <f>SUM(B29:B32)</f>
        <v>32560</v>
      </c>
      <c r="C33" s="75">
        <v>26216</v>
      </c>
      <c r="D33" s="50">
        <f>SUM(D29:D32)</f>
        <v>36300</v>
      </c>
      <c r="E33" s="48"/>
    </row>
    <row r="34" spans="1:5" ht="24.75" customHeight="1" x14ac:dyDescent="0.3">
      <c r="A34" s="14" t="s">
        <v>27</v>
      </c>
      <c r="B34" s="48"/>
      <c r="C34" s="77"/>
      <c r="D34" s="48"/>
      <c r="E34" s="48"/>
    </row>
    <row r="35" spans="1:5" ht="24.75" customHeight="1" x14ac:dyDescent="0.3">
      <c r="A35" s="5" t="s">
        <v>66</v>
      </c>
      <c r="B35" s="45">
        <v>4500</v>
      </c>
      <c r="C35" s="73">
        <v>5000</v>
      </c>
      <c r="D35" s="45">
        <v>4000</v>
      </c>
      <c r="E35" s="46"/>
    </row>
    <row r="36" spans="1:5" ht="24.75" customHeight="1" x14ac:dyDescent="0.3">
      <c r="A36" s="5" t="s">
        <v>28</v>
      </c>
      <c r="B36" s="45">
        <v>550</v>
      </c>
      <c r="C36" s="73">
        <v>1000</v>
      </c>
      <c r="D36" s="45">
        <v>1000</v>
      </c>
      <c r="E36" s="46"/>
    </row>
    <row r="37" spans="1:5" ht="24.75" customHeight="1" x14ac:dyDescent="0.3">
      <c r="A37" s="5" t="s">
        <v>84</v>
      </c>
      <c r="B37" s="45">
        <v>1000</v>
      </c>
      <c r="C37" s="73">
        <v>3200</v>
      </c>
      <c r="D37" s="45">
        <v>1000</v>
      </c>
      <c r="E37" s="46"/>
    </row>
    <row r="38" spans="1:5" ht="24.75" customHeight="1" x14ac:dyDescent="0.3">
      <c r="A38" s="5" t="s">
        <v>29</v>
      </c>
      <c r="B38" s="45">
        <v>4100</v>
      </c>
      <c r="C38" s="73">
        <v>4000</v>
      </c>
      <c r="D38" s="45">
        <v>3500</v>
      </c>
      <c r="E38" s="46"/>
    </row>
    <row r="39" spans="1:5" ht="24.75" customHeight="1" x14ac:dyDescent="0.3">
      <c r="A39" s="5" t="s">
        <v>86</v>
      </c>
      <c r="B39" s="58">
        <v>29304</v>
      </c>
      <c r="C39" s="78">
        <v>24000</v>
      </c>
      <c r="D39" s="58">
        <v>25200</v>
      </c>
      <c r="E39" s="46"/>
    </row>
    <row r="40" spans="1:5" ht="24.75" customHeight="1" thickBot="1" x14ac:dyDescent="0.35">
      <c r="A40" s="16" t="s">
        <v>30</v>
      </c>
      <c r="B40" s="63">
        <f>SUM(B35:B39)</f>
        <v>39454</v>
      </c>
      <c r="C40" s="79">
        <v>43882</v>
      </c>
      <c r="D40" s="63">
        <f>SUM(D35:D39)</f>
        <v>34700</v>
      </c>
      <c r="E40" s="68"/>
    </row>
    <row r="41" spans="1:5" ht="24.75" customHeight="1" thickTop="1" x14ac:dyDescent="0.3">
      <c r="A41" s="11" t="s">
        <v>7</v>
      </c>
      <c r="B41" s="64">
        <f>SUM(B40+B33+B27+B20)</f>
        <v>124584</v>
      </c>
      <c r="C41" s="75">
        <v>106903</v>
      </c>
      <c r="D41" s="64">
        <f>SUM(D40+D33+D27+D20)</f>
        <v>126150</v>
      </c>
      <c r="E41" s="69"/>
    </row>
    <row r="42" spans="1:5" ht="24.75" customHeight="1" thickBot="1" x14ac:dyDescent="0.35">
      <c r="A42" s="10"/>
      <c r="B42" s="48"/>
      <c r="C42" s="77"/>
      <c r="D42" s="48"/>
      <c r="E42" s="48"/>
    </row>
    <row r="43" spans="1:5" ht="24.75" customHeight="1" x14ac:dyDescent="0.2">
      <c r="A43" s="54" t="s">
        <v>117</v>
      </c>
      <c r="B43" s="49"/>
      <c r="C43" s="82"/>
      <c r="D43" s="49"/>
      <c r="E43" s="49"/>
    </row>
    <row r="44" spans="1:5" ht="24.75" customHeight="1" thickBot="1" x14ac:dyDescent="0.35">
      <c r="A44" s="55" t="s">
        <v>118</v>
      </c>
      <c r="B44" s="48"/>
      <c r="C44" s="77"/>
      <c r="D44" s="48"/>
      <c r="E44" s="48"/>
    </row>
    <row r="45" spans="1:5" ht="24.75" customHeight="1" x14ac:dyDescent="0.3">
      <c r="A45" s="116" t="s">
        <v>107</v>
      </c>
      <c r="B45" s="41"/>
      <c r="C45" s="77"/>
      <c r="D45" s="41"/>
      <c r="E45" s="41"/>
    </row>
    <row r="46" spans="1:5" ht="24.75" customHeight="1" thickBot="1" x14ac:dyDescent="0.25">
      <c r="A46" s="118"/>
    </row>
    <row r="47" spans="1:5" ht="24.75" customHeight="1" x14ac:dyDescent="0.2"/>
    <row r="48" spans="1:5" ht="24.75" customHeight="1" x14ac:dyDescent="0.2"/>
    <row r="49" spans="2:7" s="1" customFormat="1" ht="24.75" customHeight="1" x14ac:dyDescent="0.2">
      <c r="B49" s="40"/>
      <c r="C49" s="72"/>
      <c r="D49" s="40"/>
      <c r="E49" s="40"/>
      <c r="F49"/>
      <c r="G49"/>
    </row>
  </sheetData>
  <mergeCells count="1">
    <mergeCell ref="A45:A46"/>
  </mergeCells>
  <pageMargins left="0.25" right="0.25" top="0.75" bottom="0.75" header="0.3" footer="0.3"/>
  <pageSetup scale="60" fitToWidth="0" orientation="portrait" r:id="rId1"/>
  <headerFooter>
    <oddHeader>&amp;C&amp;"Arial,Bold"&amp;14Applegreen #4 Condominium Association, Inc Budget for 2021 from January 1, 2022 to December 31, 2022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44D0-1386-4B06-B804-5A8DBE69BB65}">
  <sheetPr>
    <tabColor rgb="FF92D050"/>
  </sheetPr>
  <dimension ref="A1:M17"/>
  <sheetViews>
    <sheetView tabSelected="1" view="pageBreakPreview" zoomScaleNormal="100" zoomScaleSheetLayoutView="100" workbookViewId="0">
      <selection sqref="A1:H1"/>
    </sheetView>
  </sheetViews>
  <sheetFormatPr defaultColWidth="9" defaultRowHeight="11.4" x14ac:dyDescent="0.2"/>
  <cols>
    <col min="1" max="1" width="17" bestFit="1" customWidth="1"/>
    <col min="2" max="2" width="11.125" bestFit="1" customWidth="1"/>
    <col min="3" max="3" width="13.375" bestFit="1" customWidth="1"/>
    <col min="4" max="4" width="15.875" bestFit="1" customWidth="1"/>
    <col min="5" max="5" width="12.875" bestFit="1" customWidth="1"/>
    <col min="6" max="6" width="14" customWidth="1"/>
    <col min="7" max="7" width="13.875" bestFit="1" customWidth="1"/>
    <col min="8" max="8" width="18.125" bestFit="1" customWidth="1"/>
    <col min="9" max="9" width="20" bestFit="1" customWidth="1"/>
    <col min="12" max="12" width="22.375" customWidth="1"/>
  </cols>
  <sheetData>
    <row r="1" spans="1:13" ht="25.5" customHeight="1" x14ac:dyDescent="0.4">
      <c r="A1" s="95" t="s">
        <v>114</v>
      </c>
      <c r="B1" s="95"/>
      <c r="C1" s="95"/>
      <c r="D1" s="95"/>
      <c r="E1" s="95"/>
      <c r="F1" s="95"/>
      <c r="G1" s="95"/>
      <c r="H1" s="95"/>
    </row>
    <row r="2" spans="1:13" ht="25.5" customHeight="1" thickBot="1" x14ac:dyDescent="0.25"/>
    <row r="3" spans="1:13" ht="25.5" customHeight="1" x14ac:dyDescent="0.25">
      <c r="A3" s="17" t="s">
        <v>34</v>
      </c>
      <c r="B3" s="18" t="s">
        <v>33</v>
      </c>
      <c r="C3" s="18" t="s">
        <v>33</v>
      </c>
      <c r="D3" s="18" t="s">
        <v>35</v>
      </c>
      <c r="E3" s="19" t="s">
        <v>36</v>
      </c>
      <c r="F3" s="18" t="s">
        <v>37</v>
      </c>
      <c r="G3" s="18" t="s">
        <v>38</v>
      </c>
      <c r="H3" s="20" t="s">
        <v>39</v>
      </c>
      <c r="I3" s="20" t="s">
        <v>39</v>
      </c>
      <c r="L3" s="7"/>
      <c r="M3" s="12"/>
    </row>
    <row r="4" spans="1:13" ht="25.5" customHeight="1" x14ac:dyDescent="0.25">
      <c r="A4" s="21"/>
      <c r="B4" s="22" t="s">
        <v>40</v>
      </c>
      <c r="C4" s="22" t="s">
        <v>41</v>
      </c>
      <c r="D4" s="22" t="s">
        <v>42</v>
      </c>
      <c r="E4" s="23" t="s">
        <v>43</v>
      </c>
      <c r="F4" s="22" t="s">
        <v>44</v>
      </c>
      <c r="G4" s="22" t="s">
        <v>39</v>
      </c>
      <c r="H4" s="24" t="s">
        <v>115</v>
      </c>
      <c r="I4" s="24" t="s">
        <v>116</v>
      </c>
      <c r="L4" s="7"/>
      <c r="M4" s="12"/>
    </row>
    <row r="5" spans="1:13" ht="25.5" customHeight="1" x14ac:dyDescent="0.25">
      <c r="A5" s="21"/>
      <c r="B5" s="22"/>
      <c r="C5" s="22"/>
      <c r="D5" s="22"/>
      <c r="E5" s="23" t="s">
        <v>45</v>
      </c>
      <c r="F5" s="25">
        <v>45291</v>
      </c>
      <c r="G5" s="22" t="s">
        <v>46</v>
      </c>
      <c r="H5" s="24" t="s">
        <v>47</v>
      </c>
      <c r="I5" s="24" t="s">
        <v>48</v>
      </c>
      <c r="L5" s="7"/>
      <c r="M5" s="12"/>
    </row>
    <row r="6" spans="1:13" ht="25.5" customHeight="1" x14ac:dyDescent="0.25">
      <c r="A6" s="26" t="s">
        <v>49</v>
      </c>
      <c r="B6" s="27">
        <v>20</v>
      </c>
      <c r="C6" s="57">
        <v>200000</v>
      </c>
      <c r="D6" s="27">
        <v>17</v>
      </c>
      <c r="E6" s="28">
        <v>0.2</v>
      </c>
      <c r="F6" s="42">
        <v>0</v>
      </c>
      <c r="G6" s="42">
        <f>SUM(C6/D6)-F6</f>
        <v>11764.705882352941</v>
      </c>
      <c r="H6" s="29">
        <f>SUM(C6/D6)</f>
        <v>11764.705882352941</v>
      </c>
      <c r="I6" s="30">
        <f>SUM(H6*0.4)</f>
        <v>4705.8823529411766</v>
      </c>
      <c r="L6" s="7"/>
      <c r="M6" s="12"/>
    </row>
    <row r="7" spans="1:13" ht="25.5" customHeight="1" x14ac:dyDescent="0.25">
      <c r="A7" s="26" t="s">
        <v>31</v>
      </c>
      <c r="B7" s="27">
        <v>50</v>
      </c>
      <c r="C7" s="42">
        <v>50000</v>
      </c>
      <c r="D7" s="27">
        <v>4</v>
      </c>
      <c r="E7" s="28">
        <v>0.2</v>
      </c>
      <c r="F7" s="42">
        <v>0</v>
      </c>
      <c r="G7" s="42">
        <f t="shared" ref="G7:G9" si="0">SUM(C7/D7)-F7</f>
        <v>12500</v>
      </c>
      <c r="H7" s="29">
        <f t="shared" ref="H7:H9" si="1">SUM(C7/D7)</f>
        <v>12500</v>
      </c>
      <c r="I7" s="30">
        <f>SUM(H7*0.4)</f>
        <v>5000</v>
      </c>
      <c r="L7" s="7"/>
      <c r="M7" s="12"/>
    </row>
    <row r="8" spans="1:13" ht="25.5" customHeight="1" x14ac:dyDescent="0.25">
      <c r="A8" s="26" t="s">
        <v>50</v>
      </c>
      <c r="B8" s="27">
        <v>8</v>
      </c>
      <c r="C8" s="42">
        <v>15000</v>
      </c>
      <c r="D8" s="27">
        <v>2</v>
      </c>
      <c r="E8" s="28">
        <v>0.2</v>
      </c>
      <c r="F8" s="42">
        <v>0</v>
      </c>
      <c r="G8" s="42">
        <f t="shared" si="0"/>
        <v>7500</v>
      </c>
      <c r="H8" s="29">
        <f t="shared" si="1"/>
        <v>7500</v>
      </c>
      <c r="I8" s="29">
        <f>SUM(H8*0.4)</f>
        <v>3000</v>
      </c>
      <c r="L8" s="7"/>
      <c r="M8" s="12"/>
    </row>
    <row r="9" spans="1:13" ht="25.5" customHeight="1" x14ac:dyDescent="0.25">
      <c r="A9" s="26" t="s">
        <v>51</v>
      </c>
      <c r="B9" s="27">
        <v>7</v>
      </c>
      <c r="C9" s="42">
        <v>25000</v>
      </c>
      <c r="D9" s="27">
        <v>5</v>
      </c>
      <c r="E9" s="28">
        <v>0.2</v>
      </c>
      <c r="F9" s="42">
        <v>0</v>
      </c>
      <c r="G9" s="42">
        <f t="shared" si="0"/>
        <v>5000</v>
      </c>
      <c r="H9" s="29">
        <f t="shared" si="1"/>
        <v>5000</v>
      </c>
      <c r="I9" s="29">
        <f>SUM(H9*0.4)</f>
        <v>2000</v>
      </c>
    </row>
    <row r="10" spans="1:13" ht="25.5" customHeight="1" thickBot="1" x14ac:dyDescent="0.3">
      <c r="A10" s="31" t="s">
        <v>52</v>
      </c>
      <c r="B10" s="32"/>
      <c r="C10" s="33">
        <f>SUM(C6:C9)</f>
        <v>290000</v>
      </c>
      <c r="D10" s="32"/>
      <c r="E10" s="34">
        <f>SUM(E6:E9)</f>
        <v>0.8</v>
      </c>
      <c r="F10" s="33">
        <f>SUM(F6:F9)</f>
        <v>0</v>
      </c>
      <c r="G10" s="33">
        <f>SUM(G6:G9)</f>
        <v>36764.705882352937</v>
      </c>
      <c r="H10" s="83">
        <f>SUM(H6:H9)</f>
        <v>36764.705882352937</v>
      </c>
      <c r="I10" s="35">
        <f>SUM(I6:I9)</f>
        <v>14705.882352941177</v>
      </c>
      <c r="K10" s="84">
        <f>I10/12</f>
        <v>1225.4901960784314</v>
      </c>
    </row>
    <row r="11" spans="1:13" ht="25.5" customHeight="1" thickBot="1" x14ac:dyDescent="0.25"/>
    <row r="12" spans="1:13" ht="25.5" customHeight="1" x14ac:dyDescent="0.25">
      <c r="A12" s="96" t="s">
        <v>53</v>
      </c>
      <c r="B12" s="97"/>
      <c r="C12" s="98"/>
      <c r="D12" s="99" t="s">
        <v>54</v>
      </c>
      <c r="E12" s="99"/>
      <c r="F12" s="99"/>
      <c r="G12" s="99"/>
      <c r="H12" s="99"/>
      <c r="I12" s="99"/>
    </row>
    <row r="13" spans="1:13" ht="33.75" customHeight="1" x14ac:dyDescent="0.25">
      <c r="A13" s="21" t="s">
        <v>76</v>
      </c>
      <c r="B13" s="112" t="s">
        <v>68</v>
      </c>
      <c r="C13" s="113"/>
      <c r="D13" s="114"/>
      <c r="E13" s="115" t="s">
        <v>78</v>
      </c>
      <c r="F13" s="115"/>
      <c r="G13" s="59" t="s">
        <v>79</v>
      </c>
      <c r="H13" s="60" t="s">
        <v>48</v>
      </c>
      <c r="I13" s="60" t="s">
        <v>55</v>
      </c>
    </row>
    <row r="14" spans="1:13" ht="25.5" customHeight="1" x14ac:dyDescent="0.25">
      <c r="A14" s="26" t="s">
        <v>76</v>
      </c>
      <c r="B14" s="104">
        <f>400</f>
        <v>400</v>
      </c>
      <c r="C14" s="105"/>
      <c r="D14" s="106"/>
      <c r="E14" s="107">
        <f>SUM(H10/21)/12</f>
        <v>145.89169000933705</v>
      </c>
      <c r="F14" s="107"/>
      <c r="G14" s="36">
        <f>SUM(B14+E14)</f>
        <v>545.89169000933703</v>
      </c>
      <c r="H14" s="42">
        <f>SUM(I10/21/12)</f>
        <v>58.356676003734826</v>
      </c>
      <c r="I14" s="42">
        <f>SUM(H14+B14)</f>
        <v>458.35667600373483</v>
      </c>
    </row>
    <row r="15" spans="1:13" ht="25.5" customHeight="1" thickBot="1" x14ac:dyDescent="0.25"/>
    <row r="16" spans="1:13" ht="25.5" customHeight="1" x14ac:dyDescent="0.2">
      <c r="A16" s="89" t="s">
        <v>108</v>
      </c>
      <c r="B16" s="90"/>
      <c r="C16" s="90"/>
      <c r="D16" s="90"/>
      <c r="E16" s="90"/>
      <c r="F16" s="90"/>
      <c r="G16" s="90"/>
      <c r="H16" s="90"/>
      <c r="I16" s="91"/>
    </row>
    <row r="17" spans="1:9" ht="25.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4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7"/>
  <sheetViews>
    <sheetView view="pageBreakPreview" zoomScaleNormal="100" zoomScaleSheetLayoutView="100" workbookViewId="0">
      <selection activeCell="E14" sqref="E14:F14"/>
    </sheetView>
  </sheetViews>
  <sheetFormatPr defaultColWidth="9" defaultRowHeight="11.4" x14ac:dyDescent="0.2"/>
  <cols>
    <col min="1" max="1" width="17" bestFit="1" customWidth="1"/>
    <col min="2" max="3" width="11" bestFit="1" customWidth="1"/>
    <col min="4" max="4" width="15.625" bestFit="1" customWidth="1"/>
    <col min="5" max="5" width="12.625" bestFit="1" customWidth="1"/>
    <col min="6" max="6" width="14" customWidth="1"/>
    <col min="7" max="7" width="13.625" bestFit="1" customWidth="1"/>
    <col min="8" max="8" width="18" bestFit="1" customWidth="1"/>
    <col min="9" max="9" width="19.875" bestFit="1" customWidth="1"/>
    <col min="12" max="12" width="22.375" customWidth="1"/>
  </cols>
  <sheetData>
    <row r="1" spans="1:13" ht="25.5" customHeight="1" x14ac:dyDescent="0.4">
      <c r="A1" s="95" t="s">
        <v>60</v>
      </c>
      <c r="B1" s="95"/>
      <c r="C1" s="95"/>
      <c r="D1" s="95"/>
      <c r="E1" s="95"/>
      <c r="F1" s="95"/>
      <c r="G1" s="95"/>
      <c r="H1" s="95"/>
    </row>
    <row r="2" spans="1:13" ht="25.5" customHeight="1" thickBot="1" x14ac:dyDescent="0.25"/>
    <row r="3" spans="1:13" ht="25.5" customHeight="1" x14ac:dyDescent="0.25">
      <c r="A3" s="17" t="s">
        <v>34</v>
      </c>
      <c r="B3" s="18" t="s">
        <v>33</v>
      </c>
      <c r="C3" s="18" t="s">
        <v>33</v>
      </c>
      <c r="D3" s="18" t="s">
        <v>35</v>
      </c>
      <c r="E3" s="19" t="s">
        <v>36</v>
      </c>
      <c r="F3" s="18" t="s">
        <v>37</v>
      </c>
      <c r="G3" s="18" t="s">
        <v>38</v>
      </c>
      <c r="H3" s="20" t="s">
        <v>39</v>
      </c>
      <c r="I3" s="20" t="s">
        <v>39</v>
      </c>
      <c r="L3" s="7"/>
      <c r="M3" s="12"/>
    </row>
    <row r="4" spans="1:13" ht="25.5" customHeight="1" x14ac:dyDescent="0.25">
      <c r="A4" s="21"/>
      <c r="B4" s="22" t="s">
        <v>40</v>
      </c>
      <c r="C4" s="22" t="s">
        <v>41</v>
      </c>
      <c r="D4" s="22" t="s">
        <v>42</v>
      </c>
      <c r="E4" s="23" t="s">
        <v>43</v>
      </c>
      <c r="F4" s="22" t="s">
        <v>44</v>
      </c>
      <c r="G4" s="22" t="s">
        <v>39</v>
      </c>
      <c r="H4" s="24" t="s">
        <v>61</v>
      </c>
      <c r="I4" s="24" t="s">
        <v>62</v>
      </c>
      <c r="L4" s="7"/>
      <c r="M4" s="12"/>
    </row>
    <row r="5" spans="1:13" ht="25.5" customHeight="1" x14ac:dyDescent="0.25">
      <c r="A5" s="21"/>
      <c r="B5" s="22"/>
      <c r="C5" s="22"/>
      <c r="D5" s="22"/>
      <c r="E5" s="23" t="s">
        <v>45</v>
      </c>
      <c r="F5" s="25">
        <v>43100</v>
      </c>
      <c r="G5" s="22" t="s">
        <v>46</v>
      </c>
      <c r="H5" s="24" t="s">
        <v>47</v>
      </c>
      <c r="I5" s="24" t="s">
        <v>48</v>
      </c>
      <c r="L5" s="7"/>
      <c r="M5" s="12"/>
    </row>
    <row r="6" spans="1:13" ht="25.5" customHeight="1" x14ac:dyDescent="0.25">
      <c r="A6" s="26" t="s">
        <v>49</v>
      </c>
      <c r="B6" s="27">
        <v>20</v>
      </c>
      <c r="C6" s="57">
        <v>200000</v>
      </c>
      <c r="D6" s="27">
        <v>1</v>
      </c>
      <c r="E6" s="28">
        <v>0.2</v>
      </c>
      <c r="F6" s="42">
        <v>0</v>
      </c>
      <c r="G6" s="42">
        <f>SUM(C6/D6)-F6</f>
        <v>200000</v>
      </c>
      <c r="H6" s="29">
        <f>SUM(C6/D6)</f>
        <v>200000</v>
      </c>
      <c r="I6" s="30">
        <f>SUM(13636.3636363636*0.4)</f>
        <v>5454.5454545454404</v>
      </c>
      <c r="L6" s="7"/>
      <c r="M6" s="12"/>
    </row>
    <row r="7" spans="1:13" ht="25.5" customHeight="1" x14ac:dyDescent="0.25">
      <c r="A7" s="26" t="s">
        <v>31</v>
      </c>
      <c r="B7" s="27">
        <v>50</v>
      </c>
      <c r="C7" s="42">
        <v>50000</v>
      </c>
      <c r="D7" s="27">
        <v>8</v>
      </c>
      <c r="E7" s="28">
        <v>0.2</v>
      </c>
      <c r="F7" s="42">
        <v>0</v>
      </c>
      <c r="G7" s="42">
        <f t="shared" ref="G7:G9" si="0">SUM(C7/D7)-F7</f>
        <v>6250</v>
      </c>
      <c r="H7" s="29">
        <f t="shared" ref="H7:H9" si="1">SUM(C7/D7)</f>
        <v>6250</v>
      </c>
      <c r="I7" s="30">
        <f t="shared" ref="I7:I9" si="2">SUM(13636.3636363636*0.4)</f>
        <v>5454.5454545454404</v>
      </c>
      <c r="L7" s="7"/>
      <c r="M7" s="12"/>
    </row>
    <row r="8" spans="1:13" ht="25.5" customHeight="1" x14ac:dyDescent="0.25">
      <c r="A8" s="26" t="s">
        <v>50</v>
      </c>
      <c r="B8" s="27">
        <v>8</v>
      </c>
      <c r="C8" s="42">
        <v>15000</v>
      </c>
      <c r="D8" s="27">
        <v>3</v>
      </c>
      <c r="E8" s="28">
        <v>0.2</v>
      </c>
      <c r="F8" s="42">
        <v>0</v>
      </c>
      <c r="G8" s="42">
        <f t="shared" si="0"/>
        <v>5000</v>
      </c>
      <c r="H8" s="29">
        <f t="shared" si="1"/>
        <v>5000</v>
      </c>
      <c r="I8" s="29">
        <f t="shared" si="2"/>
        <v>5454.5454545454404</v>
      </c>
      <c r="L8" s="7"/>
      <c r="M8" s="12"/>
    </row>
    <row r="9" spans="1:13" ht="25.5" customHeight="1" x14ac:dyDescent="0.25">
      <c r="A9" s="26" t="s">
        <v>51</v>
      </c>
      <c r="B9" s="27">
        <v>7</v>
      </c>
      <c r="C9" s="42">
        <v>25000</v>
      </c>
      <c r="D9" s="27">
        <v>2</v>
      </c>
      <c r="E9" s="28">
        <v>0.2</v>
      </c>
      <c r="F9" s="42">
        <v>0</v>
      </c>
      <c r="G9" s="42">
        <f t="shared" si="0"/>
        <v>12500</v>
      </c>
      <c r="H9" s="29">
        <f t="shared" si="1"/>
        <v>12500</v>
      </c>
      <c r="I9" s="29">
        <f t="shared" si="2"/>
        <v>5454.5454545454404</v>
      </c>
    </row>
    <row r="10" spans="1:13" ht="25.5" customHeight="1" thickBot="1" x14ac:dyDescent="0.3">
      <c r="A10" s="31" t="s">
        <v>52</v>
      </c>
      <c r="B10" s="32"/>
      <c r="C10" s="33">
        <f>SUM(C6:C9)</f>
        <v>290000</v>
      </c>
      <c r="D10" s="32"/>
      <c r="E10" s="34">
        <f>SUM(E6:E9)</f>
        <v>0.8</v>
      </c>
      <c r="F10" s="33">
        <f>SUM(F6:F9)</f>
        <v>0</v>
      </c>
      <c r="G10" s="33">
        <f>SUM(G6:G9)</f>
        <v>223750</v>
      </c>
      <c r="H10" s="35">
        <f>SUM(H6:H9)</f>
        <v>223750</v>
      </c>
      <c r="I10" s="35">
        <f>SUM(I6:I9)</f>
        <v>21818.181818181762</v>
      </c>
    </row>
    <row r="11" spans="1:13" ht="25.5" customHeight="1" thickBot="1" x14ac:dyDescent="0.25"/>
    <row r="12" spans="1:13" ht="25.5" customHeight="1" x14ac:dyDescent="0.25">
      <c r="A12" s="96" t="s">
        <v>53</v>
      </c>
      <c r="B12" s="97"/>
      <c r="C12" s="98"/>
      <c r="D12" s="99" t="s">
        <v>54</v>
      </c>
      <c r="E12" s="99"/>
      <c r="F12" s="99"/>
      <c r="G12" s="99"/>
      <c r="H12" s="99"/>
      <c r="I12" s="99"/>
    </row>
    <row r="13" spans="1:13" ht="33.75" customHeight="1" x14ac:dyDescent="0.25">
      <c r="A13" s="21" t="s">
        <v>57</v>
      </c>
      <c r="B13" s="100" t="s">
        <v>68</v>
      </c>
      <c r="C13" s="101"/>
      <c r="D13" s="102"/>
      <c r="E13" s="103" t="s">
        <v>58</v>
      </c>
      <c r="F13" s="103"/>
      <c r="G13" s="37" t="s">
        <v>59</v>
      </c>
      <c r="H13" s="38" t="s">
        <v>48</v>
      </c>
      <c r="I13" s="38" t="s">
        <v>55</v>
      </c>
    </row>
    <row r="14" spans="1:13" ht="25.5" customHeight="1" x14ac:dyDescent="0.25">
      <c r="A14" s="26" t="s">
        <v>57</v>
      </c>
      <c r="B14" s="104">
        <v>200</v>
      </c>
      <c r="C14" s="105"/>
      <c r="D14" s="106"/>
      <c r="E14" s="107">
        <f>SUM(H10/24)/4</f>
        <v>2330.7291666666665</v>
      </c>
      <c r="F14" s="107"/>
      <c r="G14" s="36">
        <f>SUM(B14+E14)</f>
        <v>2530.7291666666665</v>
      </c>
      <c r="H14" s="42">
        <f>SUM(I10/24/4)</f>
        <v>227.27272727272668</v>
      </c>
      <c r="I14" s="42">
        <f>SUM(H14+B14)</f>
        <v>427.27272727272668</v>
      </c>
    </row>
    <row r="15" spans="1:13" ht="25.5" customHeight="1" thickBot="1" x14ac:dyDescent="0.25"/>
    <row r="16" spans="1:13" ht="25.5" customHeight="1" x14ac:dyDescent="0.2">
      <c r="A16" s="89" t="s">
        <v>56</v>
      </c>
      <c r="B16" s="90"/>
      <c r="C16" s="90"/>
      <c r="D16" s="90"/>
      <c r="E16" s="90"/>
      <c r="F16" s="90"/>
      <c r="G16" s="90"/>
      <c r="H16" s="90"/>
      <c r="I16" s="91"/>
    </row>
    <row r="17" spans="1:9" ht="25.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4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6401-5C44-4161-AABD-24D1C425764E}">
  <dimension ref="A1:F45"/>
  <sheetViews>
    <sheetView view="pageBreakPreview" zoomScale="60" zoomScaleNormal="100" workbookViewId="0">
      <selection activeCell="A39" sqref="A39"/>
    </sheetView>
  </sheetViews>
  <sheetFormatPr defaultColWidth="9" defaultRowHeight="11.4" x14ac:dyDescent="0.2"/>
  <cols>
    <col min="1" max="1" width="42.875" style="1" bestFit="1" customWidth="1"/>
    <col min="2" max="2" width="17.875" style="40" bestFit="1" customWidth="1"/>
    <col min="3" max="3" width="22" style="40" bestFit="1" customWidth="1"/>
    <col min="4" max="4" width="17.875" style="40" bestFit="1" customWidth="1"/>
  </cols>
  <sheetData>
    <row r="1" spans="1:4" ht="17.399999999999999" x14ac:dyDescent="0.3">
      <c r="A1" s="2"/>
      <c r="B1" s="43">
        <v>2018</v>
      </c>
      <c r="C1" s="43">
        <v>2018</v>
      </c>
      <c r="D1" s="43">
        <v>2019</v>
      </c>
    </row>
    <row r="2" spans="1:4" ht="15.6" x14ac:dyDescent="0.3">
      <c r="A2" s="3"/>
      <c r="B2" s="44" t="s">
        <v>71</v>
      </c>
      <c r="C2" s="44" t="s">
        <v>35</v>
      </c>
      <c r="D2" s="44" t="s">
        <v>32</v>
      </c>
    </row>
    <row r="3" spans="1:4" ht="15.6" x14ac:dyDescent="0.3">
      <c r="A3" s="4"/>
      <c r="B3" s="44" t="s">
        <v>9</v>
      </c>
      <c r="C3" s="44" t="s">
        <v>70</v>
      </c>
      <c r="D3" s="44" t="s">
        <v>9</v>
      </c>
    </row>
    <row r="4" spans="1:4" ht="24.75" customHeight="1" x14ac:dyDescent="0.3">
      <c r="A4" s="13" t="s">
        <v>10</v>
      </c>
    </row>
    <row r="5" spans="1:4" ht="24.75" customHeight="1" x14ac:dyDescent="0.25">
      <c r="A5" s="5" t="s">
        <v>11</v>
      </c>
      <c r="B5" s="45">
        <f>21*250*12</f>
        <v>63000</v>
      </c>
      <c r="C5" s="45">
        <v>63000</v>
      </c>
      <c r="D5" s="45">
        <f>21*250*12</f>
        <v>63000</v>
      </c>
    </row>
    <row r="6" spans="1:4" ht="24.75" customHeight="1" x14ac:dyDescent="0.25">
      <c r="A6" s="5" t="s">
        <v>12</v>
      </c>
      <c r="B6" s="45">
        <v>100</v>
      </c>
      <c r="C6" s="45">
        <v>600</v>
      </c>
      <c r="D6" s="45">
        <v>100</v>
      </c>
    </row>
    <row r="7" spans="1:4" ht="24.75" customHeight="1" x14ac:dyDescent="0.25">
      <c r="A7" s="5" t="s">
        <v>13</v>
      </c>
      <c r="B7" s="45">
        <v>500</v>
      </c>
      <c r="C7" s="45">
        <v>800</v>
      </c>
      <c r="D7" s="45">
        <v>500</v>
      </c>
    </row>
    <row r="8" spans="1:4" ht="24.75" customHeight="1" x14ac:dyDescent="0.3">
      <c r="A8" s="9" t="s">
        <v>14</v>
      </c>
      <c r="B8" s="50">
        <f t="shared" ref="B8" si="0">SUM(B5:B7)</f>
        <v>63600</v>
      </c>
      <c r="C8" s="50">
        <f>SUM(C5:C7)</f>
        <v>64400</v>
      </c>
      <c r="D8" s="50">
        <f t="shared" ref="D8" si="1">SUM(D5:D7)</f>
        <v>63600</v>
      </c>
    </row>
    <row r="9" spans="1:4" ht="24.75" customHeight="1" x14ac:dyDescent="0.3">
      <c r="A9" s="13" t="s">
        <v>15</v>
      </c>
      <c r="B9" s="46"/>
      <c r="C9" s="46"/>
      <c r="D9" s="46"/>
    </row>
    <row r="10" spans="1:4" ht="24.75" customHeight="1" x14ac:dyDescent="0.25">
      <c r="A10" s="5" t="s">
        <v>5</v>
      </c>
      <c r="B10" s="45">
        <f>400*12</f>
        <v>4800</v>
      </c>
      <c r="C10" s="45">
        <v>4800</v>
      </c>
      <c r="D10" s="45">
        <f>400*12</f>
        <v>4800</v>
      </c>
    </row>
    <row r="11" spans="1:4" ht="24.75" customHeight="1" x14ac:dyDescent="0.25">
      <c r="A11" s="5" t="s">
        <v>16</v>
      </c>
      <c r="B11" s="45">
        <v>300</v>
      </c>
      <c r="C11" s="45">
        <v>280</v>
      </c>
      <c r="D11" s="45">
        <v>300</v>
      </c>
    </row>
    <row r="12" spans="1:4" ht="24.75" customHeight="1" x14ac:dyDescent="0.25">
      <c r="A12" s="5" t="s">
        <v>17</v>
      </c>
      <c r="B12" s="45">
        <v>2000</v>
      </c>
      <c r="C12" s="45">
        <v>1000</v>
      </c>
      <c r="D12" s="45">
        <v>1000</v>
      </c>
    </row>
    <row r="13" spans="1:4" ht="24.75" customHeight="1" x14ac:dyDescent="0.25">
      <c r="A13" s="5" t="s">
        <v>18</v>
      </c>
      <c r="B13" s="45">
        <v>250</v>
      </c>
      <c r="C13" s="45">
        <v>150</v>
      </c>
      <c r="D13" s="45">
        <v>250</v>
      </c>
    </row>
    <row r="14" spans="1:4" ht="24.75" customHeight="1" x14ac:dyDescent="0.25">
      <c r="A14" s="5" t="s">
        <v>19</v>
      </c>
      <c r="B14" s="45">
        <v>0</v>
      </c>
      <c r="C14" s="45">
        <v>25</v>
      </c>
      <c r="D14" s="45">
        <v>0</v>
      </c>
    </row>
    <row r="15" spans="1:4" ht="24.75" customHeight="1" x14ac:dyDescent="0.25">
      <c r="A15" s="5" t="s">
        <v>6</v>
      </c>
      <c r="B15" s="45">
        <v>13000</v>
      </c>
      <c r="C15" s="45">
        <v>13000</v>
      </c>
      <c r="D15" s="45">
        <v>13000</v>
      </c>
    </row>
    <row r="16" spans="1:4" ht="24.75" customHeight="1" x14ac:dyDescent="0.25">
      <c r="A16" s="5" t="s">
        <v>20</v>
      </c>
      <c r="B16" s="45">
        <v>200</v>
      </c>
      <c r="C16" s="45">
        <v>300</v>
      </c>
      <c r="D16" s="45">
        <v>300</v>
      </c>
    </row>
    <row r="17" spans="1:4" ht="24.75" customHeight="1" thickBot="1" x14ac:dyDescent="0.3">
      <c r="A17" s="8" t="s">
        <v>64</v>
      </c>
      <c r="B17" s="51">
        <v>100</v>
      </c>
      <c r="C17" s="51">
        <v>75</v>
      </c>
      <c r="D17" s="51">
        <v>75</v>
      </c>
    </row>
    <row r="18" spans="1:4" ht="24.75" customHeight="1" x14ac:dyDescent="0.3">
      <c r="A18" s="9" t="s">
        <v>26</v>
      </c>
      <c r="B18" s="50">
        <f>SUM(B10:B17)</f>
        <v>20650</v>
      </c>
      <c r="C18" s="50">
        <f>SUM(C10:C17)</f>
        <v>19630</v>
      </c>
      <c r="D18" s="50">
        <f>SUM(D10:D17)</f>
        <v>19725</v>
      </c>
    </row>
    <row r="19" spans="1:4" ht="24.75" customHeight="1" x14ac:dyDescent="0.3">
      <c r="A19" s="13" t="s">
        <v>21</v>
      </c>
      <c r="B19" s="46"/>
      <c r="C19" s="46"/>
      <c r="D19" s="46"/>
    </row>
    <row r="20" spans="1:4" ht="24.75" customHeight="1" x14ac:dyDescent="0.25">
      <c r="A20" s="5" t="s">
        <v>22</v>
      </c>
      <c r="B20" s="45">
        <f>250*12</f>
        <v>3000</v>
      </c>
      <c r="C20" s="45">
        <v>4800</v>
      </c>
      <c r="D20" s="45">
        <f>3000</f>
        <v>3000</v>
      </c>
    </row>
    <row r="21" spans="1:4" ht="24.75" customHeight="1" x14ac:dyDescent="0.25">
      <c r="A21" s="5" t="s">
        <v>4</v>
      </c>
      <c r="B21" s="45">
        <v>2400</v>
      </c>
      <c r="C21" s="45">
        <v>2400</v>
      </c>
      <c r="D21" s="45">
        <v>2400</v>
      </c>
    </row>
    <row r="22" spans="1:4" ht="24.75" customHeight="1" x14ac:dyDescent="0.25">
      <c r="A22" s="5" t="s">
        <v>23</v>
      </c>
      <c r="B22" s="45">
        <v>1200</v>
      </c>
      <c r="C22" s="45">
        <f>150*12</f>
        <v>1800</v>
      </c>
      <c r="D22" s="45">
        <v>1200</v>
      </c>
    </row>
    <row r="23" spans="1:4" ht="24.75" customHeight="1" x14ac:dyDescent="0.25">
      <c r="A23" s="6" t="s">
        <v>65</v>
      </c>
      <c r="B23" s="45">
        <v>1000</v>
      </c>
      <c r="C23" s="45">
        <v>1000</v>
      </c>
      <c r="D23" s="45">
        <v>1000</v>
      </c>
    </row>
    <row r="24" spans="1:4" ht="24.75" customHeight="1" x14ac:dyDescent="0.25">
      <c r="A24" s="6" t="s">
        <v>63</v>
      </c>
      <c r="B24" s="45">
        <v>200</v>
      </c>
      <c r="C24" s="45">
        <v>200</v>
      </c>
      <c r="D24" s="45">
        <v>200</v>
      </c>
    </row>
    <row r="25" spans="1:4" ht="24.75" customHeight="1" x14ac:dyDescent="0.3">
      <c r="A25" s="9" t="s">
        <v>24</v>
      </c>
      <c r="B25" s="50">
        <f>SUM(B20:B24)</f>
        <v>7800</v>
      </c>
      <c r="C25" s="50">
        <f>SUM(C20:C24)</f>
        <v>10200</v>
      </c>
      <c r="D25" s="50">
        <f>SUM(D20:D24)</f>
        <v>7800</v>
      </c>
    </row>
    <row r="26" spans="1:4" ht="24.75" customHeight="1" x14ac:dyDescent="0.3">
      <c r="A26" s="13" t="s">
        <v>0</v>
      </c>
      <c r="B26" s="46"/>
      <c r="C26" s="46"/>
      <c r="D26" s="46"/>
    </row>
    <row r="27" spans="1:4" ht="24.75" customHeight="1" x14ac:dyDescent="0.25">
      <c r="A27" s="5" t="s">
        <v>1</v>
      </c>
      <c r="B27" s="45">
        <v>1800</v>
      </c>
      <c r="C27" s="45">
        <v>2400</v>
      </c>
      <c r="D27" s="45">
        <v>2400</v>
      </c>
    </row>
    <row r="28" spans="1:4" ht="24.75" customHeight="1" x14ac:dyDescent="0.25">
      <c r="A28" s="5" t="s">
        <v>2</v>
      </c>
      <c r="B28" s="45">
        <v>14950</v>
      </c>
      <c r="C28" s="45">
        <v>13000</v>
      </c>
      <c r="D28" s="45">
        <v>13000</v>
      </c>
    </row>
    <row r="29" spans="1:4" ht="24.75" customHeight="1" thickBot="1" x14ac:dyDescent="0.3">
      <c r="A29" s="5" t="s">
        <v>3</v>
      </c>
      <c r="B29" s="51">
        <v>1800</v>
      </c>
      <c r="C29" s="51">
        <v>1800</v>
      </c>
      <c r="D29" s="51">
        <v>1800</v>
      </c>
    </row>
    <row r="30" spans="1:4" ht="24.75" customHeight="1" x14ac:dyDescent="0.3">
      <c r="A30" s="9" t="s">
        <v>25</v>
      </c>
      <c r="B30" s="50">
        <f>SUM(B27:B29)</f>
        <v>18550</v>
      </c>
      <c r="C30" s="50">
        <f>SUM(C27:C29)</f>
        <v>17200</v>
      </c>
      <c r="D30" s="50">
        <f>SUM(D27:D29)</f>
        <v>17200</v>
      </c>
    </row>
    <row r="31" spans="1:4" ht="24.75" customHeight="1" x14ac:dyDescent="0.3">
      <c r="A31" s="14" t="s">
        <v>27</v>
      </c>
      <c r="B31" s="48"/>
      <c r="C31" s="48"/>
      <c r="D31" s="48"/>
    </row>
    <row r="32" spans="1:4" ht="24.75" customHeight="1" x14ac:dyDescent="0.25">
      <c r="A32" s="5" t="s">
        <v>66</v>
      </c>
      <c r="B32" s="45">
        <v>3200</v>
      </c>
      <c r="C32" s="45">
        <f>386*12</f>
        <v>4632</v>
      </c>
      <c r="D32" s="45">
        <v>4800</v>
      </c>
    </row>
    <row r="33" spans="1:6" ht="24.75" customHeight="1" x14ac:dyDescent="0.25">
      <c r="A33" s="5" t="s">
        <v>28</v>
      </c>
      <c r="B33" s="45">
        <v>400</v>
      </c>
      <c r="C33" s="45">
        <v>200</v>
      </c>
      <c r="D33" s="45">
        <v>200</v>
      </c>
    </row>
    <row r="34" spans="1:6" ht="24.75" customHeight="1" x14ac:dyDescent="0.25">
      <c r="A34" s="5" t="s">
        <v>29</v>
      </c>
      <c r="B34" s="45">
        <v>13000</v>
      </c>
      <c r="C34" s="45">
        <v>30000</v>
      </c>
      <c r="D34" s="45">
        <v>13875</v>
      </c>
    </row>
    <row r="35" spans="1:6" ht="24.75" customHeight="1" x14ac:dyDescent="0.25">
      <c r="A35" s="5" t="s">
        <v>73</v>
      </c>
      <c r="B35" s="58">
        <v>0</v>
      </c>
      <c r="C35" s="58">
        <v>0</v>
      </c>
      <c r="D35" s="58">
        <f>21*12*150</f>
        <v>37800</v>
      </c>
      <c r="E35" s="61" t="s">
        <v>74</v>
      </c>
    </row>
    <row r="36" spans="1:6" ht="24.75" customHeight="1" thickBot="1" x14ac:dyDescent="0.35">
      <c r="A36" s="16" t="s">
        <v>30</v>
      </c>
      <c r="B36" s="56">
        <f>SUM(B32:B35)</f>
        <v>16600</v>
      </c>
      <c r="C36" s="56">
        <f>SUM(C32:C35)</f>
        <v>34832</v>
      </c>
      <c r="D36" s="56">
        <f>SUM(D32:D34)</f>
        <v>18875</v>
      </c>
      <c r="E36" s="87"/>
      <c r="F36" s="88"/>
    </row>
    <row r="37" spans="1:6" ht="24.75" customHeight="1" thickTop="1" x14ac:dyDescent="0.2">
      <c r="A37" s="11" t="s">
        <v>7</v>
      </c>
      <c r="B37" s="52">
        <f>SUM(B36+B30+B25+B18)</f>
        <v>63600</v>
      </c>
      <c r="C37" s="52">
        <f>SUM(C36+C30+C25+C18)</f>
        <v>81862</v>
      </c>
      <c r="D37" s="52">
        <f>SUM(D36+D30+D25+D18)</f>
        <v>63600</v>
      </c>
    </row>
    <row r="38" spans="1:6" ht="24.75" customHeight="1" thickBot="1" x14ac:dyDescent="0.35">
      <c r="A38" s="10"/>
      <c r="B38" s="47"/>
      <c r="C38" s="47"/>
      <c r="D38" s="48"/>
    </row>
    <row r="39" spans="1:6" ht="24.75" customHeight="1" x14ac:dyDescent="0.2">
      <c r="A39" s="54" t="s">
        <v>72</v>
      </c>
      <c r="B39" s="85">
        <v>250</v>
      </c>
      <c r="C39" s="47"/>
      <c r="D39" s="49"/>
    </row>
    <row r="40" spans="1:6" ht="24.75" customHeight="1" thickBot="1" x14ac:dyDescent="0.35">
      <c r="A40" s="55" t="s">
        <v>67</v>
      </c>
      <c r="B40" s="86"/>
      <c r="C40" s="47"/>
      <c r="D40" s="48"/>
    </row>
    <row r="41" spans="1:6" ht="24.75" customHeight="1" x14ac:dyDescent="0.3">
      <c r="A41" s="108" t="s">
        <v>77</v>
      </c>
      <c r="B41" s="109"/>
      <c r="C41" s="41"/>
      <c r="D41" s="41"/>
    </row>
    <row r="42" spans="1:6" ht="24.75" customHeight="1" thickBot="1" x14ac:dyDescent="0.25">
      <c r="A42" s="110"/>
      <c r="B42" s="111"/>
    </row>
    <row r="43" spans="1:6" ht="24.75" customHeight="1" x14ac:dyDescent="0.2"/>
    <row r="44" spans="1:6" ht="24.75" customHeight="1" x14ac:dyDescent="0.2"/>
    <row r="45" spans="1:6" ht="24.75" customHeight="1" x14ac:dyDescent="0.2"/>
  </sheetData>
  <mergeCells count="3">
    <mergeCell ref="E36:F36"/>
    <mergeCell ref="B39:B40"/>
    <mergeCell ref="A41:B42"/>
  </mergeCells>
  <pageMargins left="0.25" right="0.25" top="0.75" bottom="0.75" header="0.3" footer="0.3"/>
  <pageSetup scale="68" fitToWidth="0" orientation="portrait" r:id="rId1"/>
  <headerFooter>
    <oddHeader>&amp;C&amp;"Arial,Bold"&amp;14Applegreen #4 Condominium Association, Inc Budget for 2019 from January 1, 2019 to December 31, 2019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DC2C-57E7-4C45-819C-DC21683B2EE6}">
  <dimension ref="A1:M17"/>
  <sheetViews>
    <sheetView view="pageBreakPreview" zoomScaleNormal="100" zoomScaleSheetLayoutView="100" workbookViewId="0">
      <selection activeCell="E15" sqref="E15"/>
    </sheetView>
  </sheetViews>
  <sheetFormatPr defaultColWidth="9" defaultRowHeight="11.4" x14ac:dyDescent="0.2"/>
  <cols>
    <col min="1" max="1" width="17" bestFit="1" customWidth="1"/>
    <col min="2" max="3" width="11" bestFit="1" customWidth="1"/>
    <col min="4" max="4" width="15.625" bestFit="1" customWidth="1"/>
    <col min="5" max="5" width="12.625" bestFit="1" customWidth="1"/>
    <col min="6" max="6" width="14" customWidth="1"/>
    <col min="7" max="7" width="13.625" bestFit="1" customWidth="1"/>
    <col min="8" max="8" width="18" bestFit="1" customWidth="1"/>
    <col min="9" max="9" width="19.875" bestFit="1" customWidth="1"/>
    <col min="12" max="12" width="22.375" customWidth="1"/>
  </cols>
  <sheetData>
    <row r="1" spans="1:13" ht="25.5" customHeight="1" x14ac:dyDescent="0.4">
      <c r="A1" s="95" t="s">
        <v>75</v>
      </c>
      <c r="B1" s="95"/>
      <c r="C1" s="95"/>
      <c r="D1" s="95"/>
      <c r="E1" s="95"/>
      <c r="F1" s="95"/>
      <c r="G1" s="95"/>
      <c r="H1" s="95"/>
    </row>
    <row r="2" spans="1:13" ht="25.5" customHeight="1" thickBot="1" x14ac:dyDescent="0.25"/>
    <row r="3" spans="1:13" ht="25.5" customHeight="1" x14ac:dyDescent="0.25">
      <c r="A3" s="17" t="s">
        <v>34</v>
      </c>
      <c r="B3" s="18" t="s">
        <v>33</v>
      </c>
      <c r="C3" s="18" t="s">
        <v>33</v>
      </c>
      <c r="D3" s="18" t="s">
        <v>35</v>
      </c>
      <c r="E3" s="19" t="s">
        <v>36</v>
      </c>
      <c r="F3" s="18" t="s">
        <v>37</v>
      </c>
      <c r="G3" s="18" t="s">
        <v>38</v>
      </c>
      <c r="H3" s="20" t="s">
        <v>39</v>
      </c>
      <c r="I3" s="20" t="s">
        <v>39</v>
      </c>
      <c r="L3" s="7"/>
      <c r="M3" s="12"/>
    </row>
    <row r="4" spans="1:13" ht="25.5" customHeight="1" x14ac:dyDescent="0.25">
      <c r="A4" s="21"/>
      <c r="B4" s="22" t="s">
        <v>40</v>
      </c>
      <c r="C4" s="22" t="s">
        <v>41</v>
      </c>
      <c r="D4" s="22" t="s">
        <v>42</v>
      </c>
      <c r="E4" s="23" t="s">
        <v>43</v>
      </c>
      <c r="F4" s="22" t="s">
        <v>44</v>
      </c>
      <c r="G4" s="22" t="s">
        <v>39</v>
      </c>
      <c r="H4" s="24" t="s">
        <v>61</v>
      </c>
      <c r="I4" s="24" t="s">
        <v>62</v>
      </c>
      <c r="L4" s="7"/>
      <c r="M4" s="12"/>
    </row>
    <row r="5" spans="1:13" ht="25.5" customHeight="1" x14ac:dyDescent="0.25">
      <c r="A5" s="21"/>
      <c r="B5" s="22"/>
      <c r="C5" s="22"/>
      <c r="D5" s="22"/>
      <c r="E5" s="23" t="s">
        <v>45</v>
      </c>
      <c r="F5" s="25">
        <v>43465</v>
      </c>
      <c r="G5" s="22" t="s">
        <v>46</v>
      </c>
      <c r="H5" s="24" t="s">
        <v>47</v>
      </c>
      <c r="I5" s="24" t="s">
        <v>48</v>
      </c>
      <c r="L5" s="7"/>
      <c r="M5" s="12"/>
    </row>
    <row r="6" spans="1:13" ht="25.5" customHeight="1" x14ac:dyDescent="0.25">
      <c r="A6" s="26" t="s">
        <v>49</v>
      </c>
      <c r="B6" s="27">
        <v>20</v>
      </c>
      <c r="C6" s="57">
        <v>200000</v>
      </c>
      <c r="D6" s="27">
        <v>1</v>
      </c>
      <c r="E6" s="28">
        <v>0.2</v>
      </c>
      <c r="F6" s="42">
        <v>0</v>
      </c>
      <c r="G6" s="42">
        <f>SUM(C6/D6)-F6</f>
        <v>200000</v>
      </c>
      <c r="H6" s="29">
        <f>SUM(C6/D6)</f>
        <v>200000</v>
      </c>
      <c r="I6" s="30">
        <f>SUM(13636.3636363636*0.4)</f>
        <v>5454.5454545454404</v>
      </c>
      <c r="L6" s="7"/>
      <c r="M6" s="12"/>
    </row>
    <row r="7" spans="1:13" ht="25.5" customHeight="1" x14ac:dyDescent="0.25">
      <c r="A7" s="26" t="s">
        <v>31</v>
      </c>
      <c r="B7" s="27">
        <v>50</v>
      </c>
      <c r="C7" s="42">
        <v>50000</v>
      </c>
      <c r="D7" s="27">
        <v>7</v>
      </c>
      <c r="E7" s="28">
        <v>0.2</v>
      </c>
      <c r="F7" s="42">
        <v>0</v>
      </c>
      <c r="G7" s="42">
        <f t="shared" ref="G7:G9" si="0">SUM(C7/D7)-F7</f>
        <v>7142.8571428571431</v>
      </c>
      <c r="H7" s="29">
        <f t="shared" ref="H7:H9" si="1">SUM(C7/D7)</f>
        <v>7142.8571428571431</v>
      </c>
      <c r="I7" s="30">
        <f t="shared" ref="I7:I9" si="2">SUM(13636.3636363636*0.4)</f>
        <v>5454.5454545454404</v>
      </c>
      <c r="L7" s="7"/>
      <c r="M7" s="12"/>
    </row>
    <row r="8" spans="1:13" ht="25.5" customHeight="1" x14ac:dyDescent="0.25">
      <c r="A8" s="26" t="s">
        <v>50</v>
      </c>
      <c r="B8" s="27">
        <v>8</v>
      </c>
      <c r="C8" s="42">
        <v>15000</v>
      </c>
      <c r="D8" s="27">
        <v>2</v>
      </c>
      <c r="E8" s="28">
        <v>0.2</v>
      </c>
      <c r="F8" s="42">
        <v>0</v>
      </c>
      <c r="G8" s="42">
        <f t="shared" si="0"/>
        <v>7500</v>
      </c>
      <c r="H8" s="29">
        <f t="shared" si="1"/>
        <v>7500</v>
      </c>
      <c r="I8" s="29">
        <f t="shared" si="2"/>
        <v>5454.5454545454404</v>
      </c>
      <c r="L8" s="7"/>
      <c r="M8" s="12"/>
    </row>
    <row r="9" spans="1:13" ht="25.5" customHeight="1" x14ac:dyDescent="0.25">
      <c r="A9" s="26" t="s">
        <v>51</v>
      </c>
      <c r="B9" s="27">
        <v>7</v>
      </c>
      <c r="C9" s="42">
        <v>25000</v>
      </c>
      <c r="D9" s="27">
        <v>2</v>
      </c>
      <c r="E9" s="28">
        <v>0.2</v>
      </c>
      <c r="F9" s="42">
        <v>0</v>
      </c>
      <c r="G9" s="42">
        <f t="shared" si="0"/>
        <v>12500</v>
      </c>
      <c r="H9" s="29">
        <f t="shared" si="1"/>
        <v>12500</v>
      </c>
      <c r="I9" s="29">
        <f t="shared" si="2"/>
        <v>5454.5454545454404</v>
      </c>
    </row>
    <row r="10" spans="1:13" ht="25.5" customHeight="1" thickBot="1" x14ac:dyDescent="0.3">
      <c r="A10" s="31" t="s">
        <v>52</v>
      </c>
      <c r="B10" s="32"/>
      <c r="C10" s="33">
        <f>SUM(C6:C9)</f>
        <v>290000</v>
      </c>
      <c r="D10" s="32"/>
      <c r="E10" s="34">
        <f>SUM(E6:E9)</f>
        <v>0.8</v>
      </c>
      <c r="F10" s="33">
        <f>SUM(F6:F9)</f>
        <v>0</v>
      </c>
      <c r="G10" s="33">
        <f>SUM(G6:G9)</f>
        <v>227142.85714285713</v>
      </c>
      <c r="H10" s="35">
        <f>SUM(H6:H9)</f>
        <v>227142.85714285713</v>
      </c>
      <c r="I10" s="35">
        <f>SUM(I6:I9)</f>
        <v>21818.181818181762</v>
      </c>
    </row>
    <row r="11" spans="1:13" ht="25.5" customHeight="1" thickBot="1" x14ac:dyDescent="0.25"/>
    <row r="12" spans="1:13" ht="25.5" customHeight="1" x14ac:dyDescent="0.25">
      <c r="A12" s="96" t="s">
        <v>53</v>
      </c>
      <c r="B12" s="97"/>
      <c r="C12" s="98"/>
      <c r="D12" s="99" t="s">
        <v>54</v>
      </c>
      <c r="E12" s="99"/>
      <c r="F12" s="99"/>
      <c r="G12" s="99"/>
      <c r="H12" s="99"/>
      <c r="I12" s="99"/>
    </row>
    <row r="13" spans="1:13" ht="33.75" customHeight="1" x14ac:dyDescent="0.25">
      <c r="A13" s="21" t="s">
        <v>76</v>
      </c>
      <c r="B13" s="112" t="s">
        <v>68</v>
      </c>
      <c r="C13" s="113"/>
      <c r="D13" s="114"/>
      <c r="E13" s="115" t="s">
        <v>78</v>
      </c>
      <c r="F13" s="115"/>
      <c r="G13" s="59" t="s">
        <v>79</v>
      </c>
      <c r="H13" s="60" t="s">
        <v>48</v>
      </c>
      <c r="I13" s="60" t="s">
        <v>55</v>
      </c>
    </row>
    <row r="14" spans="1:13" ht="25.5" customHeight="1" x14ac:dyDescent="0.25">
      <c r="A14" s="26" t="s">
        <v>76</v>
      </c>
      <c r="B14" s="104">
        <v>250</v>
      </c>
      <c r="C14" s="105"/>
      <c r="D14" s="106"/>
      <c r="E14" s="107">
        <f>SUM(H10/24)/12</f>
        <v>788.69047619047615</v>
      </c>
      <c r="F14" s="107"/>
      <c r="G14" s="36">
        <f>SUM(B14+E14)</f>
        <v>1038.6904761904761</v>
      </c>
      <c r="H14" s="42">
        <f>SUM(I10/24/4)</f>
        <v>227.27272727272668</v>
      </c>
      <c r="I14" s="42">
        <f>SUM(H14+B14)</f>
        <v>477.27272727272668</v>
      </c>
    </row>
    <row r="15" spans="1:13" ht="25.5" customHeight="1" thickBot="1" x14ac:dyDescent="0.25"/>
    <row r="16" spans="1:13" ht="25.5" customHeight="1" x14ac:dyDescent="0.2">
      <c r="A16" s="89" t="s">
        <v>56</v>
      </c>
      <c r="B16" s="90"/>
      <c r="C16" s="90"/>
      <c r="D16" s="90"/>
      <c r="E16" s="90"/>
      <c r="F16" s="90"/>
      <c r="G16" s="90"/>
      <c r="H16" s="90"/>
      <c r="I16" s="91"/>
    </row>
    <row r="17" spans="1:9" ht="25.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4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7387-AF5A-C54E-8C31-ED2A4F154751}">
  <dimension ref="A1:F47"/>
  <sheetViews>
    <sheetView view="pageBreakPreview" zoomScale="150" zoomScaleNormal="100" zoomScaleSheetLayoutView="66" workbookViewId="0">
      <selection activeCell="D5" sqref="D5"/>
    </sheetView>
  </sheetViews>
  <sheetFormatPr defaultColWidth="9" defaultRowHeight="11.4" x14ac:dyDescent="0.2"/>
  <cols>
    <col min="1" max="1" width="54" style="1" bestFit="1" customWidth="1"/>
    <col min="2" max="2" width="17.875" style="40" bestFit="1" customWidth="1"/>
    <col min="3" max="3" width="22" style="40" bestFit="1" customWidth="1"/>
    <col min="4" max="4" width="17.875" style="40" bestFit="1" customWidth="1"/>
  </cols>
  <sheetData>
    <row r="1" spans="1:4" ht="17.399999999999999" x14ac:dyDescent="0.3">
      <c r="A1" s="2"/>
      <c r="B1" s="43">
        <v>2019</v>
      </c>
      <c r="C1" s="43">
        <v>2019</v>
      </c>
      <c r="D1" s="43">
        <v>2020</v>
      </c>
    </row>
    <row r="2" spans="1:4" ht="15.6" x14ac:dyDescent="0.3">
      <c r="A2" s="3"/>
      <c r="B2" s="44" t="s">
        <v>71</v>
      </c>
      <c r="C2" s="44" t="s">
        <v>35</v>
      </c>
      <c r="D2" s="44" t="s">
        <v>32</v>
      </c>
    </row>
    <row r="3" spans="1:4" ht="15.6" x14ac:dyDescent="0.3">
      <c r="A3" s="4"/>
      <c r="B3" s="44" t="s">
        <v>9</v>
      </c>
      <c r="C3" s="44" t="s">
        <v>70</v>
      </c>
      <c r="D3" s="44" t="s">
        <v>9</v>
      </c>
    </row>
    <row r="4" spans="1:4" ht="24.75" customHeight="1" x14ac:dyDescent="0.3">
      <c r="A4" s="13" t="s">
        <v>10</v>
      </c>
    </row>
    <row r="5" spans="1:4" ht="24.75" customHeight="1" x14ac:dyDescent="0.25">
      <c r="A5" s="5" t="s">
        <v>11</v>
      </c>
      <c r="B5" s="45">
        <f>21*250*12</f>
        <v>63000</v>
      </c>
      <c r="C5" s="45">
        <f>250*20*12</f>
        <v>60000</v>
      </c>
      <c r="D5" s="45">
        <f>21*270*12</f>
        <v>68040</v>
      </c>
    </row>
    <row r="6" spans="1:4" ht="24.75" customHeight="1" x14ac:dyDescent="0.25">
      <c r="A6" s="5" t="s">
        <v>83</v>
      </c>
      <c r="B6" s="45">
        <v>0</v>
      </c>
      <c r="C6" s="45">
        <v>6300</v>
      </c>
      <c r="D6" s="45">
        <f>100*12*21</f>
        <v>25200</v>
      </c>
    </row>
    <row r="7" spans="1:4" ht="24.75" customHeight="1" x14ac:dyDescent="0.25">
      <c r="A7" s="5" t="s">
        <v>12</v>
      </c>
      <c r="B7" s="45">
        <v>100</v>
      </c>
      <c r="C7" s="45">
        <v>400</v>
      </c>
      <c r="D7" s="45">
        <v>250</v>
      </c>
    </row>
    <row r="8" spans="1:4" ht="24.75" customHeight="1" x14ac:dyDescent="0.25">
      <c r="A8" s="5" t="s">
        <v>13</v>
      </c>
      <c r="B8" s="45">
        <v>500</v>
      </c>
      <c r="C8" s="45">
        <v>1500</v>
      </c>
      <c r="D8" s="45">
        <v>1500</v>
      </c>
    </row>
    <row r="9" spans="1:4" ht="24.75" customHeight="1" x14ac:dyDescent="0.3">
      <c r="A9" s="9" t="s">
        <v>14</v>
      </c>
      <c r="B9" s="50">
        <f t="shared" ref="B9:D9" si="0">SUM(B5:B8)</f>
        <v>63600</v>
      </c>
      <c r="C9" s="50">
        <f>SUM(C5:C8)</f>
        <v>68200</v>
      </c>
      <c r="D9" s="50">
        <f t="shared" si="0"/>
        <v>94990</v>
      </c>
    </row>
    <row r="10" spans="1:4" ht="24.75" customHeight="1" x14ac:dyDescent="0.3">
      <c r="A10" s="13" t="s">
        <v>15</v>
      </c>
      <c r="B10" s="46"/>
      <c r="C10" s="46"/>
      <c r="D10" s="46"/>
    </row>
    <row r="11" spans="1:4" ht="24.75" customHeight="1" x14ac:dyDescent="0.25">
      <c r="A11" s="5" t="s">
        <v>5</v>
      </c>
      <c r="B11" s="45">
        <f>400*12</f>
        <v>4800</v>
      </c>
      <c r="C11" s="45">
        <v>4800</v>
      </c>
      <c r="D11" s="45">
        <f>400*12</f>
        <v>4800</v>
      </c>
    </row>
    <row r="12" spans="1:4" ht="24.75" customHeight="1" x14ac:dyDescent="0.25">
      <c r="A12" s="5" t="s">
        <v>16</v>
      </c>
      <c r="B12" s="45">
        <v>300</v>
      </c>
      <c r="C12" s="45">
        <v>285</v>
      </c>
      <c r="D12" s="45">
        <v>300</v>
      </c>
    </row>
    <row r="13" spans="1:4" ht="24.75" customHeight="1" x14ac:dyDescent="0.25">
      <c r="A13" s="5" t="s">
        <v>17</v>
      </c>
      <c r="B13" s="45">
        <v>1000</v>
      </c>
      <c r="C13" s="45">
        <v>2700</v>
      </c>
      <c r="D13" s="45">
        <v>1500</v>
      </c>
    </row>
    <row r="14" spans="1:4" ht="24.75" customHeight="1" x14ac:dyDescent="0.25">
      <c r="A14" s="5" t="s">
        <v>18</v>
      </c>
      <c r="B14" s="45">
        <v>250</v>
      </c>
      <c r="C14" s="45">
        <v>100</v>
      </c>
      <c r="D14" s="45">
        <v>100</v>
      </c>
    </row>
    <row r="15" spans="1:4" ht="24.75" customHeight="1" x14ac:dyDescent="0.25">
      <c r="A15" s="5" t="s">
        <v>6</v>
      </c>
      <c r="B15" s="45">
        <v>13000</v>
      </c>
      <c r="C15" s="45">
        <v>22000</v>
      </c>
      <c r="D15" s="45">
        <v>22000</v>
      </c>
    </row>
    <row r="16" spans="1:4" ht="24.75" customHeight="1" x14ac:dyDescent="0.25">
      <c r="A16" s="5" t="s">
        <v>20</v>
      </c>
      <c r="B16" s="45">
        <v>300</v>
      </c>
      <c r="C16" s="45">
        <v>800</v>
      </c>
      <c r="D16" s="45">
        <v>800</v>
      </c>
    </row>
    <row r="17" spans="1:4" ht="24.75" customHeight="1" thickBot="1" x14ac:dyDescent="0.3">
      <c r="A17" s="8" t="s">
        <v>64</v>
      </c>
      <c r="B17" s="51">
        <v>75</v>
      </c>
      <c r="C17" s="51">
        <v>100</v>
      </c>
      <c r="D17" s="51">
        <v>100</v>
      </c>
    </row>
    <row r="18" spans="1:4" ht="24.75" customHeight="1" x14ac:dyDescent="0.3">
      <c r="A18" s="9" t="s">
        <v>26</v>
      </c>
      <c r="B18" s="50">
        <f>SUM(B11:B17)</f>
        <v>19725</v>
      </c>
      <c r="C18" s="50">
        <f>SUM(C11:C17)</f>
        <v>30785</v>
      </c>
      <c r="D18" s="50">
        <f>SUM(D11:D17)</f>
        <v>29600</v>
      </c>
    </row>
    <row r="19" spans="1:4" ht="24.75" customHeight="1" x14ac:dyDescent="0.3">
      <c r="A19" s="13" t="s">
        <v>21</v>
      </c>
      <c r="B19" s="46"/>
      <c r="C19" s="46"/>
      <c r="D19" s="46"/>
    </row>
    <row r="20" spans="1:4" ht="24.75" customHeight="1" x14ac:dyDescent="0.25">
      <c r="A20" s="5" t="s">
        <v>22</v>
      </c>
      <c r="B20" s="45">
        <f>3000</f>
        <v>3000</v>
      </c>
      <c r="C20" s="45">
        <f>255*12</f>
        <v>3060</v>
      </c>
      <c r="D20" s="45">
        <v>3100</v>
      </c>
    </row>
    <row r="21" spans="1:4" ht="24.75" customHeight="1" x14ac:dyDescent="0.25">
      <c r="A21" s="5" t="s">
        <v>4</v>
      </c>
      <c r="B21" s="45">
        <v>2400</v>
      </c>
      <c r="C21" s="45">
        <f>290*12</f>
        <v>3480</v>
      </c>
      <c r="D21" s="45">
        <v>3500</v>
      </c>
    </row>
    <row r="22" spans="1:4" ht="24.75" customHeight="1" x14ac:dyDescent="0.25">
      <c r="A22" s="5" t="s">
        <v>23</v>
      </c>
      <c r="B22" s="45">
        <v>1200</v>
      </c>
      <c r="C22" s="45">
        <f>281*12</f>
        <v>3372</v>
      </c>
      <c r="D22" s="45">
        <v>3400</v>
      </c>
    </row>
    <row r="23" spans="1:4" ht="24.75" customHeight="1" x14ac:dyDescent="0.25">
      <c r="A23" s="6" t="s">
        <v>65</v>
      </c>
      <c r="B23" s="45">
        <v>1000</v>
      </c>
      <c r="C23" s="45">
        <v>0</v>
      </c>
      <c r="D23" s="45">
        <v>1000</v>
      </c>
    </row>
    <row r="24" spans="1:4" ht="24.75" customHeight="1" x14ac:dyDescent="0.25">
      <c r="A24" s="6" t="s">
        <v>63</v>
      </c>
      <c r="B24" s="45">
        <v>200</v>
      </c>
      <c r="C24" s="45">
        <v>0</v>
      </c>
      <c r="D24" s="45">
        <v>200</v>
      </c>
    </row>
    <row r="25" spans="1:4" ht="24.75" customHeight="1" x14ac:dyDescent="0.3">
      <c r="A25" s="9" t="s">
        <v>24</v>
      </c>
      <c r="B25" s="50">
        <f>SUM(B20:B24)</f>
        <v>7800</v>
      </c>
      <c r="C25" s="50">
        <f>SUM(C20:C24)</f>
        <v>9912</v>
      </c>
      <c r="D25" s="50">
        <f>SUM(D20:D24)</f>
        <v>11200</v>
      </c>
    </row>
    <row r="26" spans="1:4" ht="24.75" customHeight="1" x14ac:dyDescent="0.3">
      <c r="A26" s="13" t="s">
        <v>0</v>
      </c>
      <c r="B26" s="46"/>
      <c r="C26" s="46"/>
      <c r="D26" s="46"/>
    </row>
    <row r="27" spans="1:4" ht="24.75" customHeight="1" x14ac:dyDescent="0.25">
      <c r="A27" s="5" t="s">
        <v>1</v>
      </c>
      <c r="B27" s="45">
        <v>2400</v>
      </c>
      <c r="C27" s="45">
        <v>1600</v>
      </c>
      <c r="D27" s="45">
        <v>1650</v>
      </c>
    </row>
    <row r="28" spans="1:4" ht="24.75" customHeight="1" x14ac:dyDescent="0.25">
      <c r="A28" s="5" t="s">
        <v>2</v>
      </c>
      <c r="B28" s="45">
        <v>13000</v>
      </c>
      <c r="C28" s="45">
        <v>15000</v>
      </c>
      <c r="D28" s="45">
        <v>15000</v>
      </c>
    </row>
    <row r="29" spans="1:4" ht="24.75" customHeight="1" thickBot="1" x14ac:dyDescent="0.3">
      <c r="A29" s="5" t="s">
        <v>3</v>
      </c>
      <c r="B29" s="51">
        <v>1800</v>
      </c>
      <c r="C29" s="51">
        <v>750</v>
      </c>
      <c r="D29" s="51">
        <v>750</v>
      </c>
    </row>
    <row r="30" spans="1:4" ht="24.75" customHeight="1" x14ac:dyDescent="0.3">
      <c r="A30" s="9" t="s">
        <v>25</v>
      </c>
      <c r="B30" s="50">
        <f>SUM(B27:B29)</f>
        <v>17200</v>
      </c>
      <c r="C30" s="50">
        <f>SUM(C27:C29)</f>
        <v>17350</v>
      </c>
      <c r="D30" s="50">
        <f>SUM(D27:D29)</f>
        <v>17400</v>
      </c>
    </row>
    <row r="31" spans="1:4" ht="24.75" customHeight="1" x14ac:dyDescent="0.3">
      <c r="A31" s="14" t="s">
        <v>27</v>
      </c>
      <c r="B31" s="48"/>
      <c r="C31" s="48"/>
      <c r="D31" s="48"/>
    </row>
    <row r="32" spans="1:4" ht="24.75" customHeight="1" x14ac:dyDescent="0.25">
      <c r="A32" s="5" t="s">
        <v>66</v>
      </c>
      <c r="B32" s="45">
        <v>4800</v>
      </c>
      <c r="C32" s="45">
        <v>6000</v>
      </c>
      <c r="D32" s="45">
        <v>4790</v>
      </c>
    </row>
    <row r="33" spans="1:6" ht="24.75" customHeight="1" x14ac:dyDescent="0.25">
      <c r="A33" s="5" t="s">
        <v>28</v>
      </c>
      <c r="B33" s="45">
        <v>200</v>
      </c>
      <c r="C33" s="45">
        <v>800</v>
      </c>
      <c r="D33" s="45">
        <v>800</v>
      </c>
    </row>
    <row r="34" spans="1:6" ht="24.75" customHeight="1" x14ac:dyDescent="0.25">
      <c r="A34" s="5" t="s">
        <v>84</v>
      </c>
      <c r="B34" s="45">
        <v>0</v>
      </c>
      <c r="C34" s="45">
        <v>1600</v>
      </c>
      <c r="D34" s="45">
        <v>1000</v>
      </c>
    </row>
    <row r="35" spans="1:6" ht="24.75" customHeight="1" x14ac:dyDescent="0.25">
      <c r="A35" s="5" t="s">
        <v>29</v>
      </c>
      <c r="B35" s="45">
        <v>13875</v>
      </c>
      <c r="C35" s="45">
        <v>6500</v>
      </c>
      <c r="D35" s="45">
        <v>5000</v>
      </c>
    </row>
    <row r="36" spans="1:6" ht="24.75" customHeight="1" x14ac:dyDescent="0.25">
      <c r="A36" s="5" t="s">
        <v>86</v>
      </c>
      <c r="B36" s="58">
        <v>0</v>
      </c>
      <c r="C36" s="58">
        <f>4000</f>
        <v>4000</v>
      </c>
      <c r="D36" s="58">
        <f>21*100*12</f>
        <v>25200</v>
      </c>
    </row>
    <row r="37" spans="1:6" ht="24.75" customHeight="1" x14ac:dyDescent="0.25">
      <c r="A37" s="5" t="s">
        <v>85</v>
      </c>
      <c r="B37" s="58">
        <v>0</v>
      </c>
      <c r="C37" s="58">
        <v>189170</v>
      </c>
      <c r="D37" s="58">
        <v>0</v>
      </c>
      <c r="E37" s="61" t="s">
        <v>74</v>
      </c>
    </row>
    <row r="38" spans="1:6" ht="24.75" customHeight="1" thickBot="1" x14ac:dyDescent="0.35">
      <c r="A38" s="16" t="s">
        <v>30</v>
      </c>
      <c r="B38" s="56">
        <f>SUM(B32:B35)</f>
        <v>18875</v>
      </c>
      <c r="C38" s="56">
        <f>SUM(C32:C37)</f>
        <v>208070</v>
      </c>
      <c r="D38" s="56">
        <f>SUM(D32:D37)</f>
        <v>36790</v>
      </c>
      <c r="E38" s="87"/>
      <c r="F38" s="88"/>
    </row>
    <row r="39" spans="1:6" ht="24.75" customHeight="1" thickTop="1" x14ac:dyDescent="0.2">
      <c r="A39" s="11" t="s">
        <v>7</v>
      </c>
      <c r="B39" s="52">
        <f>SUM(B38+B30+B25+B18)</f>
        <v>63600</v>
      </c>
      <c r="C39" s="52">
        <f>SUM(C38+C30+C25+C18)</f>
        <v>266117</v>
      </c>
      <c r="D39" s="52">
        <f>SUM(D38+D30+D25+D18)</f>
        <v>94990</v>
      </c>
    </row>
    <row r="40" spans="1:6" ht="24.75" customHeight="1" thickBot="1" x14ac:dyDescent="0.35">
      <c r="A40" s="10"/>
      <c r="B40" s="47"/>
      <c r="C40" s="47"/>
      <c r="D40" s="48"/>
    </row>
    <row r="41" spans="1:6" ht="24.75" customHeight="1" x14ac:dyDescent="0.2">
      <c r="A41" s="54" t="s">
        <v>87</v>
      </c>
      <c r="B41" s="85">
        <v>270</v>
      </c>
      <c r="C41" s="47"/>
      <c r="D41" s="49"/>
    </row>
    <row r="42" spans="1:6" ht="24.75" customHeight="1" thickBot="1" x14ac:dyDescent="0.35">
      <c r="A42" s="55" t="s">
        <v>67</v>
      </c>
      <c r="B42" s="86"/>
      <c r="C42" s="47"/>
      <c r="D42" s="48"/>
    </row>
    <row r="43" spans="1:6" ht="24.75" customHeight="1" x14ac:dyDescent="0.3">
      <c r="A43" s="116" t="s">
        <v>88</v>
      </c>
      <c r="B43" s="117"/>
      <c r="C43" s="41"/>
      <c r="D43" s="41"/>
    </row>
    <row r="44" spans="1:6" ht="24.75" customHeight="1" thickBot="1" x14ac:dyDescent="0.25">
      <c r="A44" s="118"/>
      <c r="B44" s="119"/>
    </row>
    <row r="45" spans="1:6" ht="24.75" customHeight="1" x14ac:dyDescent="0.2"/>
    <row r="46" spans="1:6" ht="24.75" customHeight="1" x14ac:dyDescent="0.2"/>
    <row r="47" spans="1:6" ht="24.75" customHeight="1" x14ac:dyDescent="0.2"/>
  </sheetData>
  <mergeCells count="3">
    <mergeCell ref="E38:F38"/>
    <mergeCell ref="B41:B42"/>
    <mergeCell ref="A43:B44"/>
  </mergeCells>
  <pageMargins left="0.25" right="0.25" top="0.75" bottom="0.75" header="0.3" footer="0.3"/>
  <pageSetup scale="68" fitToWidth="0" orientation="portrait" r:id="rId1"/>
  <headerFooter>
    <oddHeader>&amp;C&amp;"Arial,Bold"&amp;14Applegreen #4 Condominium Association, Inc Budget for 2020 from January 1, 2020 to December 31, 2020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5A9C-B118-A745-88B7-54F3B4E4F098}">
  <dimension ref="A1:M17"/>
  <sheetViews>
    <sheetView view="pageBreakPreview" topLeftCell="A7" zoomScale="209" zoomScaleNormal="100" zoomScaleSheetLayoutView="100" workbookViewId="0">
      <selection activeCell="C9" sqref="C9"/>
    </sheetView>
  </sheetViews>
  <sheetFormatPr defaultColWidth="9" defaultRowHeight="11.4" x14ac:dyDescent="0.2"/>
  <cols>
    <col min="1" max="1" width="17" bestFit="1" customWidth="1"/>
    <col min="2" max="2" width="11.125" bestFit="1" customWidth="1"/>
    <col min="3" max="3" width="13.375" bestFit="1" customWidth="1"/>
    <col min="4" max="4" width="15.875" bestFit="1" customWidth="1"/>
    <col min="5" max="5" width="12.875" bestFit="1" customWidth="1"/>
    <col min="6" max="6" width="14" customWidth="1"/>
    <col min="7" max="7" width="13.875" bestFit="1" customWidth="1"/>
    <col min="8" max="8" width="18.125" bestFit="1" customWidth="1"/>
    <col min="9" max="9" width="20" bestFit="1" customWidth="1"/>
    <col min="12" max="12" width="22.375" customWidth="1"/>
  </cols>
  <sheetData>
    <row r="1" spans="1:13" ht="25.5" customHeight="1" x14ac:dyDescent="0.4">
      <c r="A1" s="95" t="s">
        <v>80</v>
      </c>
      <c r="B1" s="95"/>
      <c r="C1" s="95"/>
      <c r="D1" s="95"/>
      <c r="E1" s="95"/>
      <c r="F1" s="95"/>
      <c r="G1" s="95"/>
      <c r="H1" s="95"/>
    </row>
    <row r="2" spans="1:13" ht="25.5" customHeight="1" thickBot="1" x14ac:dyDescent="0.25"/>
    <row r="3" spans="1:13" ht="25.5" customHeight="1" x14ac:dyDescent="0.25">
      <c r="A3" s="17" t="s">
        <v>34</v>
      </c>
      <c r="B3" s="18" t="s">
        <v>33</v>
      </c>
      <c r="C3" s="18" t="s">
        <v>33</v>
      </c>
      <c r="D3" s="18" t="s">
        <v>35</v>
      </c>
      <c r="E3" s="19" t="s">
        <v>36</v>
      </c>
      <c r="F3" s="18" t="s">
        <v>37</v>
      </c>
      <c r="G3" s="18" t="s">
        <v>38</v>
      </c>
      <c r="H3" s="20" t="s">
        <v>39</v>
      </c>
      <c r="I3" s="20" t="s">
        <v>39</v>
      </c>
      <c r="L3" s="7"/>
      <c r="M3" s="12"/>
    </row>
    <row r="4" spans="1:13" ht="25.5" customHeight="1" x14ac:dyDescent="0.25">
      <c r="A4" s="21"/>
      <c r="B4" s="22" t="s">
        <v>40</v>
      </c>
      <c r="C4" s="22" t="s">
        <v>41</v>
      </c>
      <c r="D4" s="22" t="s">
        <v>42</v>
      </c>
      <c r="E4" s="23" t="s">
        <v>43</v>
      </c>
      <c r="F4" s="22" t="s">
        <v>44</v>
      </c>
      <c r="G4" s="22" t="s">
        <v>39</v>
      </c>
      <c r="H4" s="24" t="s">
        <v>81</v>
      </c>
      <c r="I4" s="24" t="s">
        <v>82</v>
      </c>
      <c r="L4" s="7"/>
      <c r="M4" s="12"/>
    </row>
    <row r="5" spans="1:13" ht="25.5" customHeight="1" x14ac:dyDescent="0.25">
      <c r="A5" s="21"/>
      <c r="B5" s="22"/>
      <c r="C5" s="22"/>
      <c r="D5" s="22"/>
      <c r="E5" s="23" t="s">
        <v>45</v>
      </c>
      <c r="F5" s="25">
        <v>43830</v>
      </c>
      <c r="G5" s="22" t="s">
        <v>46</v>
      </c>
      <c r="H5" s="24" t="s">
        <v>47</v>
      </c>
      <c r="I5" s="24" t="s">
        <v>48</v>
      </c>
      <c r="L5" s="7"/>
      <c r="M5" s="12"/>
    </row>
    <row r="6" spans="1:13" ht="25.5" customHeight="1" x14ac:dyDescent="0.25">
      <c r="A6" s="26" t="s">
        <v>49</v>
      </c>
      <c r="B6" s="27">
        <v>20</v>
      </c>
      <c r="C6" s="57">
        <v>200000</v>
      </c>
      <c r="D6" s="27">
        <v>20</v>
      </c>
      <c r="E6" s="28">
        <v>0.2</v>
      </c>
      <c r="F6" s="42">
        <v>0</v>
      </c>
      <c r="G6" s="42">
        <f>SUM(C6/D6)-F6</f>
        <v>10000</v>
      </c>
      <c r="H6" s="29">
        <f>SUM(C6/D6)</f>
        <v>10000</v>
      </c>
      <c r="I6" s="30">
        <f>SUM(H6*0.4)</f>
        <v>4000</v>
      </c>
      <c r="L6" s="7"/>
      <c r="M6" s="12"/>
    </row>
    <row r="7" spans="1:13" ht="25.5" customHeight="1" x14ac:dyDescent="0.25">
      <c r="A7" s="26" t="s">
        <v>31</v>
      </c>
      <c r="B7" s="27">
        <v>50</v>
      </c>
      <c r="C7" s="42">
        <v>50000</v>
      </c>
      <c r="D7" s="27">
        <v>6</v>
      </c>
      <c r="E7" s="28">
        <v>0.2</v>
      </c>
      <c r="F7" s="42">
        <v>0</v>
      </c>
      <c r="G7" s="42">
        <f t="shared" ref="G7:G9" si="0">SUM(C7/D7)-F7</f>
        <v>8333.3333333333339</v>
      </c>
      <c r="H7" s="29">
        <f t="shared" ref="H7:H9" si="1">SUM(C7/D7)</f>
        <v>8333.3333333333339</v>
      </c>
      <c r="I7" s="30">
        <f>SUM(H7*0.4)</f>
        <v>3333.3333333333339</v>
      </c>
      <c r="L7" s="7"/>
      <c r="M7" s="12"/>
    </row>
    <row r="8" spans="1:13" ht="25.5" customHeight="1" x14ac:dyDescent="0.25">
      <c r="A8" s="26" t="s">
        <v>50</v>
      </c>
      <c r="B8" s="27">
        <v>8</v>
      </c>
      <c r="C8" s="42">
        <v>15000</v>
      </c>
      <c r="D8" s="27">
        <v>2</v>
      </c>
      <c r="E8" s="28">
        <v>0.2</v>
      </c>
      <c r="F8" s="42">
        <v>0</v>
      </c>
      <c r="G8" s="42">
        <f t="shared" si="0"/>
        <v>7500</v>
      </c>
      <c r="H8" s="29">
        <f t="shared" si="1"/>
        <v>7500</v>
      </c>
      <c r="I8" s="29">
        <f>SUM(H8*0.4)</f>
        <v>3000</v>
      </c>
      <c r="L8" s="7"/>
      <c r="M8" s="12"/>
    </row>
    <row r="9" spans="1:13" ht="25.5" customHeight="1" x14ac:dyDescent="0.25">
      <c r="A9" s="26" t="s">
        <v>51</v>
      </c>
      <c r="B9" s="27">
        <v>7</v>
      </c>
      <c r="C9" s="42">
        <v>25000</v>
      </c>
      <c r="D9" s="27">
        <v>7</v>
      </c>
      <c r="E9" s="28">
        <v>0.2</v>
      </c>
      <c r="F9" s="42">
        <v>0</v>
      </c>
      <c r="G9" s="42">
        <f t="shared" si="0"/>
        <v>3571.4285714285716</v>
      </c>
      <c r="H9" s="29">
        <f t="shared" si="1"/>
        <v>3571.4285714285716</v>
      </c>
      <c r="I9" s="29">
        <f>SUM(H9*0.4)</f>
        <v>1428.5714285714287</v>
      </c>
    </row>
    <row r="10" spans="1:13" ht="25.5" customHeight="1" thickBot="1" x14ac:dyDescent="0.3">
      <c r="A10" s="31" t="s">
        <v>52</v>
      </c>
      <c r="B10" s="32"/>
      <c r="C10" s="33">
        <f>SUM(C6:C9)</f>
        <v>290000</v>
      </c>
      <c r="D10" s="32"/>
      <c r="E10" s="34">
        <f>SUM(E6:E9)</f>
        <v>0.8</v>
      </c>
      <c r="F10" s="33">
        <f>SUM(F6:F9)</f>
        <v>0</v>
      </c>
      <c r="G10" s="33">
        <f>SUM(G6:G9)</f>
        <v>29404.761904761908</v>
      </c>
      <c r="H10" s="35">
        <f>SUM(H6:H9)</f>
        <v>29404.761904761908</v>
      </c>
      <c r="I10" s="35">
        <f>SUM(I6:I9)</f>
        <v>11761.904761904763</v>
      </c>
    </row>
    <row r="11" spans="1:13" ht="25.5" customHeight="1" thickBot="1" x14ac:dyDescent="0.25"/>
    <row r="12" spans="1:13" ht="25.5" customHeight="1" x14ac:dyDescent="0.25">
      <c r="A12" s="96" t="s">
        <v>53</v>
      </c>
      <c r="B12" s="97"/>
      <c r="C12" s="98"/>
      <c r="D12" s="99" t="s">
        <v>54</v>
      </c>
      <c r="E12" s="99"/>
      <c r="F12" s="99"/>
      <c r="G12" s="99"/>
      <c r="H12" s="99"/>
      <c r="I12" s="99"/>
    </row>
    <row r="13" spans="1:13" ht="33.75" customHeight="1" x14ac:dyDescent="0.25">
      <c r="A13" s="21" t="s">
        <v>76</v>
      </c>
      <c r="B13" s="112" t="s">
        <v>68</v>
      </c>
      <c r="C13" s="113"/>
      <c r="D13" s="114"/>
      <c r="E13" s="115" t="s">
        <v>78</v>
      </c>
      <c r="F13" s="115"/>
      <c r="G13" s="59" t="s">
        <v>79</v>
      </c>
      <c r="H13" s="60" t="s">
        <v>48</v>
      </c>
      <c r="I13" s="60" t="s">
        <v>55</v>
      </c>
    </row>
    <row r="14" spans="1:13" ht="25.5" customHeight="1" x14ac:dyDescent="0.25">
      <c r="A14" s="26" t="s">
        <v>76</v>
      </c>
      <c r="B14" s="104">
        <f>270</f>
        <v>270</v>
      </c>
      <c r="C14" s="105"/>
      <c r="D14" s="106"/>
      <c r="E14" s="107">
        <f>SUM(H10/21)/12</f>
        <v>116.68556311413455</v>
      </c>
      <c r="F14" s="107"/>
      <c r="G14" s="36">
        <f>SUM(B14+E14)</f>
        <v>386.68556311413454</v>
      </c>
      <c r="H14" s="42">
        <f>SUM(I10/21/12)</f>
        <v>46.674225245653822</v>
      </c>
      <c r="I14" s="42">
        <f>SUM(H14+B14)</f>
        <v>316.67422524565382</v>
      </c>
    </row>
    <row r="15" spans="1:13" ht="25.5" customHeight="1" thickBot="1" x14ac:dyDescent="0.25"/>
    <row r="16" spans="1:13" ht="25.5" customHeight="1" x14ac:dyDescent="0.2">
      <c r="A16" s="89" t="s">
        <v>56</v>
      </c>
      <c r="B16" s="90"/>
      <c r="C16" s="90"/>
      <c r="D16" s="90"/>
      <c r="E16" s="90"/>
      <c r="F16" s="90"/>
      <c r="G16" s="90"/>
      <c r="H16" s="90"/>
      <c r="I16" s="91"/>
    </row>
    <row r="17" spans="1:9" ht="25.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4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C495-83F9-2546-AACB-CDBA0271D0E2}">
  <dimension ref="A1:F49"/>
  <sheetViews>
    <sheetView view="pageBreakPreview" topLeftCell="A19" zoomScaleNormal="100" zoomScaleSheetLayoutView="66" workbookViewId="0">
      <selection activeCell="B42" sqref="B42"/>
    </sheetView>
  </sheetViews>
  <sheetFormatPr defaultColWidth="9" defaultRowHeight="11.4" x14ac:dyDescent="0.2"/>
  <cols>
    <col min="1" max="1" width="54" style="1" bestFit="1" customWidth="1"/>
    <col min="2" max="2" width="17.875" style="40" bestFit="1" customWidth="1"/>
    <col min="3" max="3" width="22" style="40" bestFit="1" customWidth="1"/>
    <col min="4" max="4" width="17.875" style="40" bestFit="1" customWidth="1"/>
  </cols>
  <sheetData>
    <row r="1" spans="1:4" ht="17.399999999999999" x14ac:dyDescent="0.3">
      <c r="A1" s="2"/>
      <c r="B1" s="43">
        <v>2020</v>
      </c>
      <c r="C1" s="43">
        <v>2020</v>
      </c>
      <c r="D1" s="43">
        <v>2021</v>
      </c>
    </row>
    <row r="2" spans="1:4" ht="15.6" x14ac:dyDescent="0.3">
      <c r="A2" s="3"/>
      <c r="B2" s="44" t="s">
        <v>71</v>
      </c>
      <c r="C2" s="44" t="s">
        <v>35</v>
      </c>
      <c r="D2" s="44" t="s">
        <v>97</v>
      </c>
    </row>
    <row r="3" spans="1:4" ht="15.6" x14ac:dyDescent="0.3">
      <c r="A3" s="4"/>
      <c r="B3" s="44" t="s">
        <v>9</v>
      </c>
      <c r="C3" s="44" t="s">
        <v>93</v>
      </c>
      <c r="D3" s="44" t="s">
        <v>9</v>
      </c>
    </row>
    <row r="4" spans="1:4" ht="24.75" customHeight="1" x14ac:dyDescent="0.3">
      <c r="A4" s="13" t="s">
        <v>10</v>
      </c>
    </row>
    <row r="5" spans="1:4" ht="24.75" customHeight="1" x14ac:dyDescent="0.25">
      <c r="A5" s="5" t="s">
        <v>11</v>
      </c>
      <c r="B5" s="45">
        <f>21*270*12</f>
        <v>68040</v>
      </c>
      <c r="C5" s="45">
        <f>270*21*12</f>
        <v>68040</v>
      </c>
      <c r="D5" s="45">
        <f>21*270*12</f>
        <v>68040</v>
      </c>
    </row>
    <row r="6" spans="1:4" ht="24.75" customHeight="1" x14ac:dyDescent="0.25">
      <c r="A6" s="5" t="s">
        <v>83</v>
      </c>
      <c r="B6" s="45">
        <f>100*12*21</f>
        <v>25200</v>
      </c>
      <c r="C6" s="45">
        <v>32000</v>
      </c>
      <c r="D6" s="45">
        <f>100*12*21</f>
        <v>25200</v>
      </c>
    </row>
    <row r="7" spans="1:4" ht="24.75" customHeight="1" x14ac:dyDescent="0.25">
      <c r="A7" s="5" t="s">
        <v>12</v>
      </c>
      <c r="B7" s="45">
        <v>250</v>
      </c>
      <c r="C7" s="45">
        <v>550</v>
      </c>
      <c r="D7" s="45">
        <v>250</v>
      </c>
    </row>
    <row r="8" spans="1:4" ht="24.75" customHeight="1" x14ac:dyDescent="0.25">
      <c r="A8" s="5" t="s">
        <v>94</v>
      </c>
      <c r="B8" s="45">
        <v>0</v>
      </c>
      <c r="C8" s="45">
        <v>8427.36</v>
      </c>
      <c r="D8" s="45">
        <v>0</v>
      </c>
    </row>
    <row r="9" spans="1:4" ht="24.75" customHeight="1" thickBot="1" x14ac:dyDescent="0.3">
      <c r="A9" s="5" t="s">
        <v>13</v>
      </c>
      <c r="B9" s="51">
        <v>1500</v>
      </c>
      <c r="C9" s="51">
        <v>1200</v>
      </c>
      <c r="D9" s="51">
        <v>1200</v>
      </c>
    </row>
    <row r="10" spans="1:4" ht="24.75" customHeight="1" x14ac:dyDescent="0.3">
      <c r="A10" s="9" t="s">
        <v>14</v>
      </c>
      <c r="B10" s="50">
        <f t="shared" ref="B10" si="0">SUM(B5:B9)</f>
        <v>94990</v>
      </c>
      <c r="C10" s="50">
        <f>SUM(C5:C9)</f>
        <v>110217.36</v>
      </c>
      <c r="D10" s="50">
        <f t="shared" ref="D10" si="1">SUM(D5:D9)</f>
        <v>94690</v>
      </c>
    </row>
    <row r="11" spans="1:4" ht="24.75" customHeight="1" x14ac:dyDescent="0.3">
      <c r="A11" s="13" t="s">
        <v>15</v>
      </c>
      <c r="B11" s="46"/>
      <c r="C11" s="46"/>
      <c r="D11" s="46"/>
    </row>
    <row r="12" spans="1:4" ht="24.75" customHeight="1" x14ac:dyDescent="0.25">
      <c r="A12" s="5" t="s">
        <v>5</v>
      </c>
      <c r="B12" s="45">
        <f>400*12</f>
        <v>4800</v>
      </c>
      <c r="C12" s="45">
        <v>4800</v>
      </c>
      <c r="D12" s="45">
        <f>400*12</f>
        <v>4800</v>
      </c>
    </row>
    <row r="13" spans="1:4" ht="24.75" customHeight="1" x14ac:dyDescent="0.25">
      <c r="A13" s="5" t="s">
        <v>16</v>
      </c>
      <c r="B13" s="45">
        <v>300</v>
      </c>
      <c r="C13" s="45">
        <v>300</v>
      </c>
      <c r="D13" s="45">
        <v>320</v>
      </c>
    </row>
    <row r="14" spans="1:4" ht="24.75" customHeight="1" x14ac:dyDescent="0.25">
      <c r="A14" s="5" t="s">
        <v>17</v>
      </c>
      <c r="B14" s="45">
        <v>1500</v>
      </c>
      <c r="C14" s="45">
        <v>0</v>
      </c>
      <c r="D14" s="45">
        <v>700</v>
      </c>
    </row>
    <row r="15" spans="1:4" ht="24.75" customHeight="1" x14ac:dyDescent="0.25">
      <c r="A15" s="5" t="s">
        <v>18</v>
      </c>
      <c r="B15" s="45">
        <v>100</v>
      </c>
      <c r="C15" s="45">
        <v>70</v>
      </c>
      <c r="D15" s="45">
        <v>80</v>
      </c>
    </row>
    <row r="16" spans="1:4" ht="24.75" customHeight="1" x14ac:dyDescent="0.25">
      <c r="A16" s="5" t="s">
        <v>6</v>
      </c>
      <c r="B16" s="45">
        <v>22000</v>
      </c>
      <c r="C16" s="45">
        <v>22500</v>
      </c>
      <c r="D16" s="45">
        <v>22000</v>
      </c>
    </row>
    <row r="17" spans="1:4" ht="24.75" customHeight="1" x14ac:dyDescent="0.25">
      <c r="A17" s="5" t="s">
        <v>20</v>
      </c>
      <c r="B17" s="45">
        <v>800</v>
      </c>
      <c r="C17" s="45">
        <v>650</v>
      </c>
      <c r="D17" s="45">
        <v>700</v>
      </c>
    </row>
    <row r="18" spans="1:4" ht="24.75" customHeight="1" thickBot="1" x14ac:dyDescent="0.3">
      <c r="A18" s="8" t="s">
        <v>64</v>
      </c>
      <c r="B18" s="51">
        <v>100</v>
      </c>
      <c r="C18" s="51">
        <v>80</v>
      </c>
      <c r="D18" s="51">
        <v>100</v>
      </c>
    </row>
    <row r="19" spans="1:4" ht="24.75" customHeight="1" x14ac:dyDescent="0.3">
      <c r="A19" s="9" t="s">
        <v>26</v>
      </c>
      <c r="B19" s="50">
        <f>SUM(B12:B18)</f>
        <v>29600</v>
      </c>
      <c r="C19" s="50">
        <f>SUM(C12:C18)</f>
        <v>28400</v>
      </c>
      <c r="D19" s="50">
        <f>SUM(D12:D18)</f>
        <v>28700</v>
      </c>
    </row>
    <row r="20" spans="1:4" ht="24.75" customHeight="1" x14ac:dyDescent="0.3">
      <c r="A20" s="13" t="s">
        <v>21</v>
      </c>
      <c r="B20" s="46"/>
      <c r="C20" s="46"/>
      <c r="D20" s="46"/>
    </row>
    <row r="21" spans="1:4" ht="24.75" customHeight="1" x14ac:dyDescent="0.25">
      <c r="A21" s="5" t="s">
        <v>22</v>
      </c>
      <c r="B21" s="45">
        <v>3100</v>
      </c>
      <c r="C21" s="45">
        <v>2600</v>
      </c>
      <c r="D21" s="45">
        <v>2786</v>
      </c>
    </row>
    <row r="22" spans="1:4" ht="24.75" customHeight="1" x14ac:dyDescent="0.25">
      <c r="A22" s="5" t="s">
        <v>4</v>
      </c>
      <c r="B22" s="45">
        <v>3500</v>
      </c>
      <c r="C22" s="45">
        <v>3500</v>
      </c>
      <c r="D22" s="45">
        <v>3500</v>
      </c>
    </row>
    <row r="23" spans="1:4" ht="24.75" customHeight="1" x14ac:dyDescent="0.25">
      <c r="A23" s="5" t="s">
        <v>23</v>
      </c>
      <c r="B23" s="45">
        <v>3400</v>
      </c>
      <c r="C23" s="45">
        <v>4500</v>
      </c>
      <c r="D23" s="45">
        <v>2800</v>
      </c>
    </row>
    <row r="24" spans="1:4" ht="24.75" customHeight="1" x14ac:dyDescent="0.25">
      <c r="A24" s="6" t="s">
        <v>65</v>
      </c>
      <c r="B24" s="45">
        <v>1000</v>
      </c>
      <c r="C24" s="45">
        <v>0</v>
      </c>
      <c r="D24" s="45">
        <v>1000</v>
      </c>
    </row>
    <row r="25" spans="1:4" ht="24.75" customHeight="1" thickBot="1" x14ac:dyDescent="0.3">
      <c r="A25" s="6" t="s">
        <v>63</v>
      </c>
      <c r="B25" s="51">
        <v>200</v>
      </c>
      <c r="C25" s="51">
        <v>0</v>
      </c>
      <c r="D25" s="51">
        <v>200</v>
      </c>
    </row>
    <row r="26" spans="1:4" ht="24.75" customHeight="1" x14ac:dyDescent="0.3">
      <c r="A26" s="9" t="s">
        <v>24</v>
      </c>
      <c r="B26" s="50">
        <f>SUM(B21:B25)</f>
        <v>11200</v>
      </c>
      <c r="C26" s="50">
        <f>SUM(C21:C25)</f>
        <v>10600</v>
      </c>
      <c r="D26" s="50">
        <f>SUM(D21:D25)</f>
        <v>10286</v>
      </c>
    </row>
    <row r="27" spans="1:4" ht="24.75" customHeight="1" x14ac:dyDescent="0.3">
      <c r="A27" s="13" t="s">
        <v>0</v>
      </c>
      <c r="B27" s="46"/>
      <c r="C27" s="46"/>
      <c r="D27" s="46"/>
    </row>
    <row r="28" spans="1:4" ht="24.75" customHeight="1" x14ac:dyDescent="0.25">
      <c r="A28" s="5" t="s">
        <v>1</v>
      </c>
      <c r="B28" s="45">
        <v>1650</v>
      </c>
      <c r="C28" s="45">
        <f>650*2</f>
        <v>1300</v>
      </c>
      <c r="D28" s="45">
        <v>1400</v>
      </c>
    </row>
    <row r="29" spans="1:4" ht="24.75" customHeight="1" x14ac:dyDescent="0.25">
      <c r="A29" s="5" t="s">
        <v>2</v>
      </c>
      <c r="B29" s="45">
        <v>15000</v>
      </c>
      <c r="C29" s="45">
        <v>15000</v>
      </c>
      <c r="D29" s="45">
        <v>15000</v>
      </c>
    </row>
    <row r="30" spans="1:4" ht="24.75" customHeight="1" x14ac:dyDescent="0.25">
      <c r="A30" s="5" t="s">
        <v>96</v>
      </c>
      <c r="B30" s="62">
        <v>0</v>
      </c>
      <c r="C30" s="62">
        <v>4300</v>
      </c>
      <c r="D30" s="62">
        <v>4300</v>
      </c>
    </row>
    <row r="31" spans="1:4" ht="24.75" customHeight="1" thickBot="1" x14ac:dyDescent="0.3">
      <c r="A31" s="5" t="s">
        <v>3</v>
      </c>
      <c r="B31" s="51">
        <v>750</v>
      </c>
      <c r="C31" s="51">
        <v>650</v>
      </c>
      <c r="D31" s="51">
        <v>650</v>
      </c>
    </row>
    <row r="32" spans="1:4" ht="24.75" customHeight="1" x14ac:dyDescent="0.3">
      <c r="A32" s="9" t="s">
        <v>25</v>
      </c>
      <c r="B32" s="50">
        <f>SUM(B28:B31)</f>
        <v>17400</v>
      </c>
      <c r="C32" s="50">
        <f>SUM(C28:C31)</f>
        <v>21250</v>
      </c>
      <c r="D32" s="50">
        <f>SUM(D28:D31)</f>
        <v>21350</v>
      </c>
    </row>
    <row r="33" spans="1:6" ht="24.75" customHeight="1" x14ac:dyDescent="0.3">
      <c r="A33" s="14" t="s">
        <v>27</v>
      </c>
      <c r="B33" s="48"/>
      <c r="C33" s="48"/>
      <c r="D33" s="48"/>
    </row>
    <row r="34" spans="1:6" ht="24.75" customHeight="1" x14ac:dyDescent="0.25">
      <c r="A34" s="5" t="s">
        <v>66</v>
      </c>
      <c r="B34" s="45">
        <v>4790</v>
      </c>
      <c r="C34" s="45">
        <v>5200</v>
      </c>
      <c r="D34" s="45">
        <v>5300</v>
      </c>
    </row>
    <row r="35" spans="1:6" ht="24.75" customHeight="1" x14ac:dyDescent="0.25">
      <c r="A35" s="5" t="s">
        <v>28</v>
      </c>
      <c r="B35" s="45">
        <v>800</v>
      </c>
      <c r="C35" s="45">
        <v>800</v>
      </c>
      <c r="D35" s="45">
        <v>800</v>
      </c>
    </row>
    <row r="36" spans="1:6" ht="24.75" customHeight="1" x14ac:dyDescent="0.25">
      <c r="A36" s="5" t="s">
        <v>84</v>
      </c>
      <c r="B36" s="45">
        <v>1000</v>
      </c>
      <c r="C36" s="45">
        <v>200</v>
      </c>
      <c r="D36" s="45">
        <v>500</v>
      </c>
    </row>
    <row r="37" spans="1:6" ht="24.75" customHeight="1" x14ac:dyDescent="0.25">
      <c r="A37" s="5" t="s">
        <v>29</v>
      </c>
      <c r="B37" s="45">
        <v>5000</v>
      </c>
      <c r="C37" s="45">
        <v>9800</v>
      </c>
      <c r="D37" s="45">
        <v>3500</v>
      </c>
    </row>
    <row r="38" spans="1:6" ht="24.75" customHeight="1" x14ac:dyDescent="0.25">
      <c r="A38" s="5" t="s">
        <v>86</v>
      </c>
      <c r="B38" s="58">
        <f>21*100*12</f>
        <v>25200</v>
      </c>
      <c r="C38" s="58">
        <f>9498*2</f>
        <v>18996</v>
      </c>
      <c r="D38" s="58">
        <v>24254</v>
      </c>
    </row>
    <row r="39" spans="1:6" ht="24.75" customHeight="1" x14ac:dyDescent="0.25">
      <c r="A39" s="5" t="s">
        <v>95</v>
      </c>
      <c r="B39" s="58">
        <v>0</v>
      </c>
      <c r="C39" s="58">
        <v>11500</v>
      </c>
      <c r="D39" s="58">
        <v>0</v>
      </c>
      <c r="E39" s="61"/>
    </row>
    <row r="40" spans="1:6" ht="24.75" customHeight="1" thickBot="1" x14ac:dyDescent="0.35">
      <c r="A40" s="16" t="s">
        <v>30</v>
      </c>
      <c r="B40" s="56">
        <f>SUM(B34:B39)</f>
        <v>36790</v>
      </c>
      <c r="C40" s="56">
        <f>SUM(C34:C39)</f>
        <v>46496</v>
      </c>
      <c r="D40" s="63">
        <f>SUM(D34:D39)</f>
        <v>34354</v>
      </c>
      <c r="E40" s="87"/>
      <c r="F40" s="88"/>
    </row>
    <row r="41" spans="1:6" ht="24.75" customHeight="1" thickTop="1" x14ac:dyDescent="0.2">
      <c r="A41" s="11" t="s">
        <v>7</v>
      </c>
      <c r="B41" s="52">
        <f>SUM(B40+B32+B26+B19)</f>
        <v>94990</v>
      </c>
      <c r="C41" s="52">
        <f>SUM(C40+C32+C26+C19)</f>
        <v>106746</v>
      </c>
      <c r="D41" s="64">
        <f>SUM(D40+D32+D26+D19)</f>
        <v>94690</v>
      </c>
    </row>
    <row r="42" spans="1:6" ht="24.75" customHeight="1" thickBot="1" x14ac:dyDescent="0.35">
      <c r="A42" s="10"/>
      <c r="B42" s="47"/>
      <c r="C42" s="47"/>
      <c r="D42" s="48"/>
    </row>
    <row r="43" spans="1:6" ht="24.75" customHeight="1" x14ac:dyDescent="0.2">
      <c r="A43" s="54" t="s">
        <v>92</v>
      </c>
      <c r="B43" s="85">
        <v>270</v>
      </c>
      <c r="C43" s="47"/>
      <c r="D43" s="49"/>
    </row>
    <row r="44" spans="1:6" ht="24.75" customHeight="1" thickBot="1" x14ac:dyDescent="0.35">
      <c r="A44" s="55" t="s">
        <v>67</v>
      </c>
      <c r="B44" s="86"/>
      <c r="C44" s="47"/>
      <c r="D44" s="48"/>
    </row>
    <row r="45" spans="1:6" ht="24.75" customHeight="1" x14ac:dyDescent="0.3">
      <c r="A45" s="116" t="s">
        <v>98</v>
      </c>
      <c r="B45" s="117"/>
      <c r="C45" s="41"/>
      <c r="D45" s="41"/>
    </row>
    <row r="46" spans="1:6" ht="24.75" customHeight="1" thickBot="1" x14ac:dyDescent="0.25">
      <c r="A46" s="118"/>
      <c r="B46" s="119"/>
    </row>
    <row r="47" spans="1:6" ht="24.75" customHeight="1" x14ac:dyDescent="0.2"/>
    <row r="48" spans="1:6" ht="24.75" customHeight="1" x14ac:dyDescent="0.2"/>
    <row r="49" ht="24.75" customHeight="1" x14ac:dyDescent="0.2"/>
  </sheetData>
  <mergeCells count="3">
    <mergeCell ref="E40:F40"/>
    <mergeCell ref="B43:B44"/>
    <mergeCell ref="A45:B46"/>
  </mergeCells>
  <pageMargins left="0.25" right="0.25" top="0.75" bottom="0.75" header="0.3" footer="0.3"/>
  <pageSetup scale="60" fitToWidth="0" orientation="portrait" r:id="rId1"/>
  <headerFooter>
    <oddHeader>&amp;C&amp;"Arial,Bold"&amp;14Applegreen #4 Condominium Association, Inc Budget for 2020 from January 1, 2020 to December 31, 2020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BB01-540F-104F-856F-3DF0D2FC64D2}">
  <dimension ref="A1:M17"/>
  <sheetViews>
    <sheetView view="pageBreakPreview" topLeftCell="A4" zoomScaleNormal="100" zoomScaleSheetLayoutView="100" workbookViewId="0">
      <selection activeCell="E11" sqref="E11"/>
    </sheetView>
  </sheetViews>
  <sheetFormatPr defaultColWidth="9" defaultRowHeight="11.4" x14ac:dyDescent="0.2"/>
  <cols>
    <col min="1" max="1" width="17" bestFit="1" customWidth="1"/>
    <col min="2" max="2" width="11.125" bestFit="1" customWidth="1"/>
    <col min="3" max="3" width="13.375" bestFit="1" customWidth="1"/>
    <col min="4" max="4" width="15.875" bestFit="1" customWidth="1"/>
    <col min="5" max="5" width="12.875" bestFit="1" customWidth="1"/>
    <col min="6" max="6" width="14" customWidth="1"/>
    <col min="7" max="7" width="13.875" bestFit="1" customWidth="1"/>
    <col min="8" max="8" width="18.125" bestFit="1" customWidth="1"/>
    <col min="9" max="9" width="20" bestFit="1" customWidth="1"/>
    <col min="12" max="12" width="22.375" customWidth="1"/>
  </cols>
  <sheetData>
    <row r="1" spans="1:13" ht="25.5" customHeight="1" x14ac:dyDescent="0.4">
      <c r="A1" s="95" t="s">
        <v>89</v>
      </c>
      <c r="B1" s="95"/>
      <c r="C1" s="95"/>
      <c r="D1" s="95"/>
      <c r="E1" s="95"/>
      <c r="F1" s="95"/>
      <c r="G1" s="95"/>
      <c r="H1" s="95"/>
    </row>
    <row r="2" spans="1:13" ht="25.5" customHeight="1" thickBot="1" x14ac:dyDescent="0.25"/>
    <row r="3" spans="1:13" ht="25.5" customHeight="1" x14ac:dyDescent="0.25">
      <c r="A3" s="17" t="s">
        <v>34</v>
      </c>
      <c r="B3" s="18" t="s">
        <v>33</v>
      </c>
      <c r="C3" s="18" t="s">
        <v>33</v>
      </c>
      <c r="D3" s="18" t="s">
        <v>35</v>
      </c>
      <c r="E3" s="19" t="s">
        <v>36</v>
      </c>
      <c r="F3" s="18" t="s">
        <v>37</v>
      </c>
      <c r="G3" s="18" t="s">
        <v>38</v>
      </c>
      <c r="H3" s="20" t="s">
        <v>39</v>
      </c>
      <c r="I3" s="20" t="s">
        <v>39</v>
      </c>
      <c r="L3" s="7"/>
      <c r="M3" s="12"/>
    </row>
    <row r="4" spans="1:13" ht="25.5" customHeight="1" x14ac:dyDescent="0.25">
      <c r="A4" s="21"/>
      <c r="B4" s="22" t="s">
        <v>40</v>
      </c>
      <c r="C4" s="22" t="s">
        <v>41</v>
      </c>
      <c r="D4" s="22" t="s">
        <v>42</v>
      </c>
      <c r="E4" s="23" t="s">
        <v>43</v>
      </c>
      <c r="F4" s="22" t="s">
        <v>44</v>
      </c>
      <c r="G4" s="22" t="s">
        <v>39</v>
      </c>
      <c r="H4" s="24" t="s">
        <v>90</v>
      </c>
      <c r="I4" s="24" t="s">
        <v>91</v>
      </c>
      <c r="L4" s="7"/>
      <c r="M4" s="12"/>
    </row>
    <row r="5" spans="1:13" ht="25.5" customHeight="1" x14ac:dyDescent="0.25">
      <c r="A5" s="21"/>
      <c r="B5" s="22"/>
      <c r="C5" s="22"/>
      <c r="D5" s="22"/>
      <c r="E5" s="23" t="s">
        <v>45</v>
      </c>
      <c r="F5" s="65">
        <v>44196</v>
      </c>
      <c r="G5" s="22" t="s">
        <v>46</v>
      </c>
      <c r="H5" s="24" t="s">
        <v>47</v>
      </c>
      <c r="I5" s="24" t="s">
        <v>48</v>
      </c>
      <c r="L5" s="7"/>
      <c r="M5" s="12"/>
    </row>
    <row r="6" spans="1:13" ht="25.5" customHeight="1" x14ac:dyDescent="0.25">
      <c r="A6" s="26" t="s">
        <v>49</v>
      </c>
      <c r="B6" s="27">
        <v>20</v>
      </c>
      <c r="C6" s="57">
        <v>200000</v>
      </c>
      <c r="D6" s="66">
        <v>19</v>
      </c>
      <c r="E6" s="28">
        <v>0.2</v>
      </c>
      <c r="F6" s="42">
        <v>0</v>
      </c>
      <c r="G6" s="42">
        <f>SUM(C6/D6)-F6</f>
        <v>10526.315789473685</v>
      </c>
      <c r="H6" s="29">
        <f>SUM(C6/D6)</f>
        <v>10526.315789473685</v>
      </c>
      <c r="I6" s="30">
        <f>SUM(H6*0.4)</f>
        <v>4210.5263157894742</v>
      </c>
      <c r="L6" s="7"/>
      <c r="M6" s="12"/>
    </row>
    <row r="7" spans="1:13" ht="25.5" customHeight="1" x14ac:dyDescent="0.25">
      <c r="A7" s="26" t="s">
        <v>31</v>
      </c>
      <c r="B7" s="27">
        <v>50</v>
      </c>
      <c r="C7" s="42">
        <v>50000</v>
      </c>
      <c r="D7" s="66">
        <v>5</v>
      </c>
      <c r="E7" s="28">
        <v>0.2</v>
      </c>
      <c r="F7" s="42">
        <v>0</v>
      </c>
      <c r="G7" s="42">
        <f t="shared" ref="G7:G9" si="0">SUM(C7/D7)-F7</f>
        <v>10000</v>
      </c>
      <c r="H7" s="29">
        <f t="shared" ref="H7:H9" si="1">SUM(C7/D7)</f>
        <v>10000</v>
      </c>
      <c r="I7" s="30">
        <f>SUM(H7*0.4)</f>
        <v>4000</v>
      </c>
      <c r="L7" s="7"/>
      <c r="M7" s="12"/>
    </row>
    <row r="8" spans="1:13" ht="25.5" customHeight="1" x14ac:dyDescent="0.25">
      <c r="A8" s="26" t="s">
        <v>50</v>
      </c>
      <c r="B8" s="27">
        <v>8</v>
      </c>
      <c r="C8" s="42">
        <v>15000</v>
      </c>
      <c r="D8" s="66">
        <v>2</v>
      </c>
      <c r="E8" s="28">
        <v>0.2</v>
      </c>
      <c r="F8" s="42">
        <v>0</v>
      </c>
      <c r="G8" s="42">
        <f t="shared" si="0"/>
        <v>7500</v>
      </c>
      <c r="H8" s="29">
        <f t="shared" si="1"/>
        <v>7500</v>
      </c>
      <c r="I8" s="29">
        <f>SUM(H8*0.4)</f>
        <v>3000</v>
      </c>
      <c r="L8" s="7"/>
      <c r="M8" s="12"/>
    </row>
    <row r="9" spans="1:13" ht="25.5" customHeight="1" x14ac:dyDescent="0.25">
      <c r="A9" s="26" t="s">
        <v>51</v>
      </c>
      <c r="B9" s="27">
        <v>7</v>
      </c>
      <c r="C9" s="42">
        <v>25000</v>
      </c>
      <c r="D9" s="66">
        <v>7</v>
      </c>
      <c r="E9" s="28">
        <v>0.2</v>
      </c>
      <c r="F9" s="42">
        <v>0</v>
      </c>
      <c r="G9" s="42">
        <f t="shared" si="0"/>
        <v>3571.4285714285716</v>
      </c>
      <c r="H9" s="29">
        <f t="shared" si="1"/>
        <v>3571.4285714285716</v>
      </c>
      <c r="I9" s="29">
        <f>SUM(H9*0.4)</f>
        <v>1428.5714285714287</v>
      </c>
    </row>
    <row r="10" spans="1:13" ht="25.5" customHeight="1" thickBot="1" x14ac:dyDescent="0.3">
      <c r="A10" s="31" t="s">
        <v>52</v>
      </c>
      <c r="B10" s="32"/>
      <c r="C10" s="33">
        <f>SUM(C6:C9)</f>
        <v>290000</v>
      </c>
      <c r="D10" s="32"/>
      <c r="E10" s="34">
        <f>SUM(E6:E9)</f>
        <v>0.8</v>
      </c>
      <c r="F10" s="33">
        <f>SUM(F6:F9)</f>
        <v>0</v>
      </c>
      <c r="G10" s="33">
        <f>SUM(G6:G9)</f>
        <v>31597.744360902259</v>
      </c>
      <c r="H10" s="35">
        <f>SUM(H6:H9)</f>
        <v>31597.744360902259</v>
      </c>
      <c r="I10" s="35">
        <f>SUM(I6:I9)</f>
        <v>12639.097744360903</v>
      </c>
    </row>
    <row r="11" spans="1:13" ht="25.5" customHeight="1" thickBot="1" x14ac:dyDescent="0.25"/>
    <row r="12" spans="1:13" ht="25.5" customHeight="1" x14ac:dyDescent="0.25">
      <c r="A12" s="96" t="s">
        <v>53</v>
      </c>
      <c r="B12" s="97"/>
      <c r="C12" s="98"/>
      <c r="D12" s="99" t="s">
        <v>54</v>
      </c>
      <c r="E12" s="99"/>
      <c r="F12" s="99"/>
      <c r="G12" s="99"/>
      <c r="H12" s="99"/>
      <c r="I12" s="99"/>
    </row>
    <row r="13" spans="1:13" ht="33.75" customHeight="1" x14ac:dyDescent="0.25">
      <c r="A13" s="21" t="s">
        <v>76</v>
      </c>
      <c r="B13" s="112" t="s">
        <v>68</v>
      </c>
      <c r="C13" s="113"/>
      <c r="D13" s="114"/>
      <c r="E13" s="115" t="s">
        <v>78</v>
      </c>
      <c r="F13" s="115"/>
      <c r="G13" s="59" t="s">
        <v>79</v>
      </c>
      <c r="H13" s="60" t="s">
        <v>48</v>
      </c>
      <c r="I13" s="60" t="s">
        <v>55</v>
      </c>
    </row>
    <row r="14" spans="1:13" ht="25.5" customHeight="1" x14ac:dyDescent="0.25">
      <c r="A14" s="26" t="s">
        <v>76</v>
      </c>
      <c r="B14" s="104">
        <v>270</v>
      </c>
      <c r="C14" s="105"/>
      <c r="D14" s="106"/>
      <c r="E14" s="107">
        <f>SUM(H10/21)/12</f>
        <v>125.38787444802483</v>
      </c>
      <c r="F14" s="107"/>
      <c r="G14" s="36">
        <f>SUM(B14+E14)</f>
        <v>395.38787444802483</v>
      </c>
      <c r="H14" s="42">
        <f>SUM(I10/21/12)</f>
        <v>50.155149779209928</v>
      </c>
      <c r="I14" s="42">
        <f>SUM(H14+B14)</f>
        <v>320.15514977920992</v>
      </c>
    </row>
    <row r="15" spans="1:13" ht="25.5" customHeight="1" thickBot="1" x14ac:dyDescent="0.25"/>
    <row r="16" spans="1:13" ht="25.5" customHeight="1" x14ac:dyDescent="0.2">
      <c r="A16" s="89" t="s">
        <v>56</v>
      </c>
      <c r="B16" s="90"/>
      <c r="C16" s="90"/>
      <c r="D16" s="90"/>
      <c r="E16" s="90"/>
      <c r="F16" s="90"/>
      <c r="G16" s="90"/>
      <c r="H16" s="90"/>
      <c r="I16" s="91"/>
    </row>
    <row r="17" spans="1:9" ht="25.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4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570F-B26D-4736-85BC-F611F5147976}">
  <sheetPr>
    <tabColor rgb="FFFFFF00"/>
  </sheetPr>
  <dimension ref="A1:F51"/>
  <sheetViews>
    <sheetView view="pageBreakPreview" topLeftCell="A31" zoomScaleNormal="100" zoomScaleSheetLayoutView="66" workbookViewId="0">
      <selection activeCell="C47" sqref="C47"/>
    </sheetView>
  </sheetViews>
  <sheetFormatPr defaultColWidth="9" defaultRowHeight="11.4" x14ac:dyDescent="0.2"/>
  <cols>
    <col min="1" max="1" width="54" style="1" bestFit="1" customWidth="1"/>
    <col min="2" max="2" width="17.875" style="40" bestFit="1" customWidth="1"/>
    <col min="3" max="3" width="22" style="40" bestFit="1" customWidth="1"/>
    <col min="4" max="4" width="17.875" style="40" bestFit="1" customWidth="1"/>
  </cols>
  <sheetData>
    <row r="1" spans="1:4" ht="17.399999999999999" x14ac:dyDescent="0.3">
      <c r="A1" s="2"/>
      <c r="B1" s="43">
        <v>2021</v>
      </c>
      <c r="C1" s="43">
        <v>2021</v>
      </c>
      <c r="D1" s="43">
        <v>2022</v>
      </c>
    </row>
    <row r="2" spans="1:4" ht="15.6" x14ac:dyDescent="0.3">
      <c r="A2" s="3"/>
      <c r="B2" s="44" t="s">
        <v>97</v>
      </c>
      <c r="C2" s="44" t="s">
        <v>35</v>
      </c>
      <c r="D2" s="44" t="s">
        <v>99</v>
      </c>
    </row>
    <row r="3" spans="1:4" ht="15.6" x14ac:dyDescent="0.3">
      <c r="A3" s="4"/>
      <c r="B3" s="44" t="s">
        <v>9</v>
      </c>
      <c r="C3" s="44" t="s">
        <v>93</v>
      </c>
      <c r="D3" s="44" t="s">
        <v>9</v>
      </c>
    </row>
    <row r="4" spans="1:4" ht="24.75" customHeight="1" x14ac:dyDescent="0.3">
      <c r="A4" s="13" t="s">
        <v>10</v>
      </c>
    </row>
    <row r="5" spans="1:4" ht="24.75" customHeight="1" x14ac:dyDescent="0.25">
      <c r="A5" s="5" t="s">
        <v>11</v>
      </c>
      <c r="B5" s="45">
        <f>21*270*12</f>
        <v>68040</v>
      </c>
      <c r="C5" s="45">
        <v>68040</v>
      </c>
      <c r="D5" s="45">
        <f>270*21*12</f>
        <v>68040</v>
      </c>
    </row>
    <row r="6" spans="1:4" ht="24.75" customHeight="1" x14ac:dyDescent="0.25">
      <c r="A6" s="5" t="s">
        <v>83</v>
      </c>
      <c r="B6" s="45">
        <f>100*12*21</f>
        <v>25200</v>
      </c>
      <c r="C6" s="45">
        <v>25200</v>
      </c>
      <c r="D6" s="45">
        <v>25200</v>
      </c>
    </row>
    <row r="7" spans="1:4" ht="24.75" customHeight="1" x14ac:dyDescent="0.25">
      <c r="A7" s="5" t="s">
        <v>12</v>
      </c>
      <c r="B7" s="45">
        <v>250</v>
      </c>
      <c r="C7" s="45">
        <v>450</v>
      </c>
      <c r="D7" s="45">
        <v>250</v>
      </c>
    </row>
    <row r="8" spans="1:4" ht="24.75" customHeight="1" x14ac:dyDescent="0.25">
      <c r="A8" s="5" t="s">
        <v>94</v>
      </c>
      <c r="B8" s="45">
        <v>0</v>
      </c>
      <c r="C8" s="45">
        <v>0</v>
      </c>
      <c r="D8" s="45">
        <v>0</v>
      </c>
    </row>
    <row r="9" spans="1:4" ht="24.75" customHeight="1" x14ac:dyDescent="0.25">
      <c r="A9" s="5" t="s">
        <v>104</v>
      </c>
      <c r="B9" s="62">
        <v>0</v>
      </c>
      <c r="C9" s="62">
        <v>500</v>
      </c>
      <c r="D9" s="62">
        <v>10</v>
      </c>
    </row>
    <row r="10" spans="1:4" ht="24.75" customHeight="1" thickBot="1" x14ac:dyDescent="0.3">
      <c r="A10" s="5" t="s">
        <v>13</v>
      </c>
      <c r="B10" s="51">
        <v>1200</v>
      </c>
      <c r="C10" s="51">
        <v>2500</v>
      </c>
      <c r="D10" s="51">
        <v>2400</v>
      </c>
    </row>
    <row r="11" spans="1:4" ht="24.75" customHeight="1" x14ac:dyDescent="0.3">
      <c r="A11" s="9" t="s">
        <v>14</v>
      </c>
      <c r="B11" s="50">
        <f t="shared" ref="B11" si="0">SUM(B5:B10)</f>
        <v>94690</v>
      </c>
      <c r="C11" s="50">
        <f>SUM(C5:C10)</f>
        <v>96690</v>
      </c>
      <c r="D11" s="50">
        <f>SUM(D5:D10)</f>
        <v>95900</v>
      </c>
    </row>
    <row r="12" spans="1:4" ht="24.75" customHeight="1" x14ac:dyDescent="0.3">
      <c r="A12" s="13" t="s">
        <v>15</v>
      </c>
      <c r="B12" s="46"/>
      <c r="C12" s="46"/>
      <c r="D12" s="46"/>
    </row>
    <row r="13" spans="1:4" ht="24.75" customHeight="1" x14ac:dyDescent="0.25">
      <c r="A13" s="5" t="s">
        <v>5</v>
      </c>
      <c r="B13" s="45">
        <f>400*12</f>
        <v>4800</v>
      </c>
      <c r="C13" s="45">
        <v>4800</v>
      </c>
      <c r="D13" s="45">
        <v>4800</v>
      </c>
    </row>
    <row r="14" spans="1:4" ht="24.75" customHeight="1" x14ac:dyDescent="0.25">
      <c r="A14" s="5" t="s">
        <v>106</v>
      </c>
      <c r="B14" s="45">
        <v>320</v>
      </c>
      <c r="C14" s="45">
        <v>310</v>
      </c>
      <c r="D14" s="45">
        <v>320</v>
      </c>
    </row>
    <row r="15" spans="1:4" ht="24.75" customHeight="1" x14ac:dyDescent="0.25">
      <c r="A15" s="5" t="s">
        <v>105</v>
      </c>
      <c r="B15" s="45">
        <v>0</v>
      </c>
      <c r="C15" s="45">
        <v>75</v>
      </c>
      <c r="D15" s="45">
        <v>75</v>
      </c>
    </row>
    <row r="16" spans="1:4" ht="24.75" customHeight="1" x14ac:dyDescent="0.25">
      <c r="A16" s="5" t="s">
        <v>17</v>
      </c>
      <c r="B16" s="45">
        <v>700</v>
      </c>
      <c r="C16" s="45">
        <v>0</v>
      </c>
      <c r="D16" s="45">
        <v>500</v>
      </c>
    </row>
    <row r="17" spans="1:4" ht="24.75" customHeight="1" x14ac:dyDescent="0.25">
      <c r="A17" s="5" t="s">
        <v>18</v>
      </c>
      <c r="B17" s="45">
        <v>80</v>
      </c>
      <c r="C17" s="45">
        <v>120</v>
      </c>
      <c r="D17" s="45">
        <v>120</v>
      </c>
    </row>
    <row r="18" spans="1:4" ht="24.75" customHeight="1" x14ac:dyDescent="0.25">
      <c r="A18" s="5" t="s">
        <v>6</v>
      </c>
      <c r="B18" s="45">
        <v>22000</v>
      </c>
      <c r="C18" s="45">
        <v>20000</v>
      </c>
      <c r="D18" s="45">
        <v>22911</v>
      </c>
    </row>
    <row r="19" spans="1:4" ht="24.75" customHeight="1" x14ac:dyDescent="0.25">
      <c r="A19" s="5" t="s">
        <v>20</v>
      </c>
      <c r="B19" s="45">
        <v>700</v>
      </c>
      <c r="C19" s="45">
        <v>950</v>
      </c>
      <c r="D19" s="45">
        <v>950</v>
      </c>
    </row>
    <row r="20" spans="1:4" ht="24.75" customHeight="1" thickBot="1" x14ac:dyDescent="0.3">
      <c r="A20" s="8" t="s">
        <v>64</v>
      </c>
      <c r="B20" s="51">
        <v>100</v>
      </c>
      <c r="C20" s="51">
        <v>50</v>
      </c>
      <c r="D20" s="51">
        <v>50</v>
      </c>
    </row>
    <row r="21" spans="1:4" ht="24.75" customHeight="1" x14ac:dyDescent="0.3">
      <c r="A21" s="9" t="s">
        <v>26</v>
      </c>
      <c r="B21" s="50">
        <f>SUM(B13:B20)</f>
        <v>28700</v>
      </c>
      <c r="C21" s="50">
        <f>SUM(C13:C20)</f>
        <v>26305</v>
      </c>
      <c r="D21" s="50">
        <f>SUM(D13:D20)</f>
        <v>29726</v>
      </c>
    </row>
    <row r="22" spans="1:4" ht="24.75" customHeight="1" x14ac:dyDescent="0.3">
      <c r="A22" s="13" t="s">
        <v>21</v>
      </c>
      <c r="B22" s="46"/>
      <c r="C22" s="46"/>
      <c r="D22" s="46"/>
    </row>
    <row r="23" spans="1:4" ht="24.75" customHeight="1" x14ac:dyDescent="0.25">
      <c r="A23" s="5" t="s">
        <v>22</v>
      </c>
      <c r="B23" s="45">
        <v>2786</v>
      </c>
      <c r="C23" s="45">
        <v>3200</v>
      </c>
      <c r="D23" s="45">
        <v>3200</v>
      </c>
    </row>
    <row r="24" spans="1:4" ht="24.75" customHeight="1" x14ac:dyDescent="0.25">
      <c r="A24" s="5" t="s">
        <v>4</v>
      </c>
      <c r="B24" s="45">
        <v>3500</v>
      </c>
      <c r="C24" s="45">
        <v>3900</v>
      </c>
      <c r="D24" s="45">
        <v>3900</v>
      </c>
    </row>
    <row r="25" spans="1:4" ht="24.75" customHeight="1" x14ac:dyDescent="0.25">
      <c r="A25" s="5" t="s">
        <v>23</v>
      </c>
      <c r="B25" s="45">
        <v>2800</v>
      </c>
      <c r="C25" s="45">
        <v>2200</v>
      </c>
      <c r="D25" s="45">
        <v>2200</v>
      </c>
    </row>
    <row r="26" spans="1:4" ht="24.75" customHeight="1" x14ac:dyDescent="0.25">
      <c r="A26" s="6" t="s">
        <v>65</v>
      </c>
      <c r="B26" s="45">
        <v>1000</v>
      </c>
      <c r="C26" s="45">
        <v>1000</v>
      </c>
      <c r="D26" s="45">
        <v>1000</v>
      </c>
    </row>
    <row r="27" spans="1:4" ht="24.75" customHeight="1" thickBot="1" x14ac:dyDescent="0.3">
      <c r="A27" s="6" t="s">
        <v>63</v>
      </c>
      <c r="B27" s="51">
        <v>200</v>
      </c>
      <c r="C27" s="51">
        <v>200</v>
      </c>
      <c r="D27" s="51">
        <v>200</v>
      </c>
    </row>
    <row r="28" spans="1:4" ht="24.75" customHeight="1" x14ac:dyDescent="0.3">
      <c r="A28" s="9" t="s">
        <v>24</v>
      </c>
      <c r="B28" s="50">
        <f>SUM(B23:B27)</f>
        <v>10286</v>
      </c>
      <c r="C28" s="50">
        <f>SUM(C23:C27)</f>
        <v>10500</v>
      </c>
      <c r="D28" s="50">
        <f>SUM(D23:D27)</f>
        <v>10500</v>
      </c>
    </row>
    <row r="29" spans="1:4" ht="24.75" customHeight="1" x14ac:dyDescent="0.3">
      <c r="A29" s="13" t="s">
        <v>0</v>
      </c>
      <c r="B29" s="46"/>
      <c r="C29" s="46"/>
      <c r="D29" s="46"/>
    </row>
    <row r="30" spans="1:4" ht="24.75" customHeight="1" x14ac:dyDescent="0.25">
      <c r="A30" s="5" t="s">
        <v>1</v>
      </c>
      <c r="B30" s="45">
        <v>1400</v>
      </c>
      <c r="C30" s="45">
        <v>2400</v>
      </c>
      <c r="D30" s="45">
        <v>2400</v>
      </c>
    </row>
    <row r="31" spans="1:4" ht="24.75" customHeight="1" x14ac:dyDescent="0.25">
      <c r="A31" s="5" t="s">
        <v>2</v>
      </c>
      <c r="B31" s="45">
        <v>15000</v>
      </c>
      <c r="C31" s="45">
        <v>17000</v>
      </c>
      <c r="D31" s="45">
        <v>1750</v>
      </c>
    </row>
    <row r="32" spans="1:4" ht="24.75" customHeight="1" x14ac:dyDescent="0.25">
      <c r="A32" s="5" t="s">
        <v>103</v>
      </c>
      <c r="B32" s="62">
        <v>4300</v>
      </c>
      <c r="C32" s="62">
        <v>6300</v>
      </c>
      <c r="D32" s="62">
        <v>6300</v>
      </c>
    </row>
    <row r="33" spans="1:5" ht="24.75" customHeight="1" thickBot="1" x14ac:dyDescent="0.3">
      <c r="A33" s="5" t="s">
        <v>3</v>
      </c>
      <c r="B33" s="51">
        <v>650</v>
      </c>
      <c r="C33" s="51">
        <v>516</v>
      </c>
      <c r="D33" s="51">
        <v>520</v>
      </c>
    </row>
    <row r="34" spans="1:5" ht="24.75" customHeight="1" x14ac:dyDescent="0.3">
      <c r="A34" s="9" t="s">
        <v>25</v>
      </c>
      <c r="B34" s="50">
        <f>SUM(B30:B33)</f>
        <v>21350</v>
      </c>
      <c r="C34" s="50">
        <f>SUM(C30:C33)</f>
        <v>26216</v>
      </c>
      <c r="D34" s="50">
        <f>SUM(D30:D33)</f>
        <v>10970</v>
      </c>
    </row>
    <row r="35" spans="1:5" ht="24.75" customHeight="1" x14ac:dyDescent="0.3">
      <c r="A35" s="14" t="s">
        <v>27</v>
      </c>
      <c r="B35" s="48"/>
      <c r="C35" s="48"/>
      <c r="D35" s="48"/>
    </row>
    <row r="36" spans="1:5" ht="24.75" customHeight="1" x14ac:dyDescent="0.25">
      <c r="A36" s="5" t="s">
        <v>66</v>
      </c>
      <c r="B36" s="45">
        <v>5300</v>
      </c>
      <c r="C36" s="45">
        <v>4200</v>
      </c>
      <c r="D36" s="45">
        <v>4500</v>
      </c>
    </row>
    <row r="37" spans="1:5" ht="24.75" customHeight="1" x14ac:dyDescent="0.25">
      <c r="A37" s="5" t="s">
        <v>28</v>
      </c>
      <c r="B37" s="45">
        <v>800</v>
      </c>
      <c r="C37" s="45">
        <v>800</v>
      </c>
      <c r="D37" s="45">
        <v>800</v>
      </c>
    </row>
    <row r="38" spans="1:5" ht="24.75" customHeight="1" x14ac:dyDescent="0.25">
      <c r="A38" s="5" t="s">
        <v>84</v>
      </c>
      <c r="B38" s="45">
        <v>500</v>
      </c>
      <c r="C38" s="45">
        <v>1682</v>
      </c>
      <c r="D38" s="45">
        <v>2100</v>
      </c>
    </row>
    <row r="39" spans="1:5" ht="24.75" customHeight="1" x14ac:dyDescent="0.25">
      <c r="A39" s="5" t="s">
        <v>29</v>
      </c>
      <c r="B39" s="45">
        <v>3500</v>
      </c>
      <c r="C39" s="45">
        <v>9200</v>
      </c>
      <c r="D39" s="45">
        <v>8000</v>
      </c>
    </row>
    <row r="40" spans="1:5" ht="24.75" customHeight="1" x14ac:dyDescent="0.25">
      <c r="A40" s="5" t="s">
        <v>86</v>
      </c>
      <c r="B40" s="58">
        <v>24254</v>
      </c>
      <c r="C40" s="58">
        <v>28000</v>
      </c>
      <c r="D40" s="58">
        <v>29304</v>
      </c>
    </row>
    <row r="41" spans="1:5" ht="24.75" customHeight="1" x14ac:dyDescent="0.25">
      <c r="A41" s="5" t="s">
        <v>95</v>
      </c>
      <c r="B41" s="58">
        <v>0</v>
      </c>
      <c r="C41" s="58">
        <v>0</v>
      </c>
      <c r="D41" s="58">
        <v>0</v>
      </c>
      <c r="E41" s="61"/>
    </row>
    <row r="42" spans="1:5" ht="24.75" customHeight="1" thickBot="1" x14ac:dyDescent="0.35">
      <c r="A42" s="16" t="s">
        <v>30</v>
      </c>
      <c r="B42" s="56">
        <f>SUM(B36:B41)</f>
        <v>34354</v>
      </c>
      <c r="C42" s="56">
        <f>SUM(C36:C41)</f>
        <v>43882</v>
      </c>
      <c r="D42" s="63">
        <f>SUM(D36:D41)</f>
        <v>44704</v>
      </c>
    </row>
    <row r="43" spans="1:5" ht="24.75" customHeight="1" thickTop="1" x14ac:dyDescent="0.2">
      <c r="A43" s="11" t="s">
        <v>7</v>
      </c>
      <c r="B43" s="52">
        <f>SUM(B42+B34+B28+B21)</f>
        <v>94690</v>
      </c>
      <c r="C43" s="52">
        <f>SUM(C42+C34+C28+C21)</f>
        <v>106903</v>
      </c>
      <c r="D43" s="64">
        <f>SUM(D42+D34+D28+D21)</f>
        <v>95900</v>
      </c>
    </row>
    <row r="44" spans="1:5" ht="24.75" customHeight="1" thickBot="1" x14ac:dyDescent="0.35">
      <c r="A44" s="10"/>
      <c r="B44" s="47"/>
      <c r="C44" s="47"/>
      <c r="D44" s="48"/>
    </row>
    <row r="45" spans="1:5" ht="24.75" customHeight="1" x14ac:dyDescent="0.2">
      <c r="A45" s="54" t="s">
        <v>92</v>
      </c>
      <c r="B45" s="85">
        <v>270</v>
      </c>
      <c r="C45" s="47"/>
      <c r="D45" s="49"/>
    </row>
    <row r="46" spans="1:5" ht="24.75" customHeight="1" thickBot="1" x14ac:dyDescent="0.35">
      <c r="A46" s="55" t="s">
        <v>67</v>
      </c>
      <c r="B46" s="86"/>
      <c r="C46" s="47"/>
      <c r="D46" s="48"/>
    </row>
    <row r="47" spans="1:5" ht="24.75" customHeight="1" x14ac:dyDescent="0.3">
      <c r="A47" s="116" t="s">
        <v>107</v>
      </c>
      <c r="B47" s="117"/>
      <c r="C47" s="41"/>
      <c r="D47" s="41"/>
    </row>
    <row r="48" spans="1:5" ht="24.75" customHeight="1" thickBot="1" x14ac:dyDescent="0.25">
      <c r="A48" s="118"/>
      <c r="B48" s="119"/>
    </row>
    <row r="49" spans="2:6" ht="24.75" customHeight="1" x14ac:dyDescent="0.2"/>
    <row r="50" spans="2:6" ht="24.75" customHeight="1" x14ac:dyDescent="0.2"/>
    <row r="51" spans="2:6" s="1" customFormat="1" ht="24.75" customHeight="1" x14ac:dyDescent="0.2">
      <c r="B51" s="40"/>
      <c r="C51" s="40"/>
      <c r="D51" s="40"/>
      <c r="E51"/>
      <c r="F51"/>
    </row>
  </sheetData>
  <mergeCells count="2">
    <mergeCell ref="B45:B46"/>
    <mergeCell ref="A47:B48"/>
  </mergeCells>
  <pageMargins left="0.25" right="0.25" top="0.75" bottom="0.75" header="0.3" footer="0.3"/>
  <pageSetup scale="60" fitToWidth="0" orientation="portrait" r:id="rId1"/>
  <headerFooter>
    <oddHeader>&amp;C&amp;"Arial,Bold"&amp;14Applegreen #4 Condominium Association, Inc Budget for 2021 from January 1, 2022 to December 31,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15</vt:i4>
      </vt:variant>
    </vt:vector>
  </HeadingPairs>
  <TitlesOfParts>
    <vt:vector size="29" baseType="lpstr">
      <vt:lpstr>budget 2018</vt:lpstr>
      <vt:lpstr>reserves 2018</vt:lpstr>
      <vt:lpstr>budget 2019</vt:lpstr>
      <vt:lpstr>reserves 2019</vt:lpstr>
      <vt:lpstr>budget 2020</vt:lpstr>
      <vt:lpstr>reserves 2020</vt:lpstr>
      <vt:lpstr>budget 2021</vt:lpstr>
      <vt:lpstr>reserves 2021</vt:lpstr>
      <vt:lpstr>budget 2022</vt:lpstr>
      <vt:lpstr>reserves 2022</vt:lpstr>
      <vt:lpstr>proposed budget 2023</vt:lpstr>
      <vt:lpstr>proposed reserves 2023</vt:lpstr>
      <vt:lpstr>proposed budget 2024</vt:lpstr>
      <vt:lpstr>proposed reserves 2024</vt:lpstr>
      <vt:lpstr>'budget 2018'!Print_Area</vt:lpstr>
      <vt:lpstr>'budget 2019'!Print_Area</vt:lpstr>
      <vt:lpstr>'budget 2020'!Print_Area</vt:lpstr>
      <vt:lpstr>'budget 2021'!Print_Area</vt:lpstr>
      <vt:lpstr>'budget 2022'!Print_Area</vt:lpstr>
      <vt:lpstr>'proposed budget 2023'!Print_Area</vt:lpstr>
      <vt:lpstr>'proposed budget 2024'!Print_Area</vt:lpstr>
      <vt:lpstr>'proposed reserves 2024'!Print_Area</vt:lpstr>
      <vt:lpstr>'budget 2018'!Print_Titles</vt:lpstr>
      <vt:lpstr>'budget 2019'!Print_Titles</vt:lpstr>
      <vt:lpstr>'budget 2020'!Print_Titles</vt:lpstr>
      <vt:lpstr>'budget 2021'!Print_Titles</vt:lpstr>
      <vt:lpstr>'budget 2022'!Print_Titles</vt:lpstr>
      <vt:lpstr>'proposed budget 2023'!Print_Titles</vt:lpstr>
      <vt:lpstr>'proposed budget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Liliane Meghabghab</dc:creator>
  <cp:lastModifiedBy>jamie blum</cp:lastModifiedBy>
  <cp:lastPrinted>2023-11-01T22:27:36Z</cp:lastPrinted>
  <dcterms:created xsi:type="dcterms:W3CDTF">2013-09-09T14:06:04Z</dcterms:created>
  <dcterms:modified xsi:type="dcterms:W3CDTF">2024-10-11T13:11:16Z</dcterms:modified>
</cp:coreProperties>
</file>